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heets/sheet1.xml" ContentType="application/vnd.openxmlformats-officedocument.spreadsheetml.chart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1"/>
  <workbookPr showInkAnnotation="0" updateLinks="never" codeName="ThisWorkbook"/>
  <mc:AlternateContent xmlns:mc="http://schemas.openxmlformats.org/markup-compatibility/2006">
    <mc:Choice Requires="x15">
      <x15ac:absPath xmlns:x15ac="http://schemas.microsoft.com/office/spreadsheetml/2010/11/ac" url="/Users/rachelzirin/Desktop/2022 Fund/Timberline, EVI, EV II/"/>
    </mc:Choice>
  </mc:AlternateContent>
  <xr:revisionPtr revIDLastSave="0" documentId="13_ncr:1_{B66DCF7B-B893-B44D-924B-9E25339F3947}" xr6:coauthVersionLast="47" xr6:coauthVersionMax="47" xr10:uidLastSave="{00000000-0000-0000-0000-000000000000}"/>
  <workbookProtection workbookAlgorithmName="SHA-512" workbookHashValue="dCGKvLt9ALlTFwx7GCav8Hd9jRdClpqJfk26NbPxELOJRD+vdjQSu/yrhkFkUMpFyEd/f0qvgmYu98Bva/OJog==" workbookSaltValue="kDeDZd99S7etQNO8EvMALQ==" workbookSpinCount="100000" lockStructure="1"/>
  <bookViews>
    <workbookView xWindow="0" yWindow="500" windowWidth="35840" windowHeight="20200" tabRatio="782" xr2:uid="{047DD966-0158-484F-9EE6-B569EC8A0788}"/>
  </bookViews>
  <sheets>
    <sheet name="Executive Summary" sheetId="8" r:id="rId1"/>
    <sheet name="Financial Summary" sheetId="7" r:id="rId2"/>
    <sheet name="Park Images" sheetId="5" r:id="rId3"/>
    <sheet name="Proforma" sheetId="1" r:id="rId4"/>
    <sheet name="Notes" sheetId="2" r:id="rId5"/>
    <sheet name="Comps-Market-Park" sheetId="4" state="hidden" r:id="rId6"/>
    <sheet name="Rent Roll " sheetId="10" state="hidden" r:id="rId7"/>
    <sheet name="Quick Eval" sheetId="20" state="hidden" r:id="rId8"/>
    <sheet name="Closing Funds - POHs" sheetId="16" state="hidden" r:id="rId9"/>
    <sheet name="Year 1 Proforma" sheetId="22" state="hidden" r:id="rId10"/>
    <sheet name="IE Data Entry" sheetId="11" state="hidden" r:id="rId11"/>
    <sheet name="IE SUMMARY" sheetId="12" state="hidden" r:id="rId12"/>
    <sheet name="Inc-Exp-NOI Chart" sheetId="13" state="hidden" r:id="rId13"/>
    <sheet name="Expense Compare Chart" sheetId="14" state="hidden" r:id="rId14"/>
    <sheet name="BVG Chart Of Accounts" sheetId="15" state="hidden" r:id="rId15"/>
    <sheet name="1- PSA-LOI Fields" sheetId="17" state="hidden" r:id="rId16"/>
    <sheet name="WaterFall" sheetId="19" state="hidden" r:id="rId17"/>
  </sheets>
  <externalReferences>
    <externalReference r:id="rId18"/>
  </externalReferences>
  <definedNames>
    <definedName name="_Fill" localSheetId="15" hidden="1">#REF!</definedName>
    <definedName name="_Fill" localSheetId="16" hidden="1">#REF!</definedName>
    <definedName name="_Fill" hidden="1">#REF!</definedName>
    <definedName name="_Order1" hidden="1">0</definedName>
    <definedName name="_Table2_Out" localSheetId="15" hidden="1">[1]Matrix!#REF!</definedName>
    <definedName name="_Table2_Out" localSheetId="16" hidden="1">[1]Matrix!#REF!</definedName>
    <definedName name="_Table2_Out" hidden="1">[1]Matrix!#REF!</definedName>
    <definedName name="AcquisitionFee">Proforma!$N$8</definedName>
    <definedName name="AssetMgmtFee">Proforma!$N$9</definedName>
    <definedName name="BVG_Internal">Proforma!$155:$405</definedName>
    <definedName name="BVGPromote">Proforma!$K$23</definedName>
    <definedName name="ChartOfAccounts">'BVG Chart Of Accounts'!$A$18:$B$41</definedName>
    <definedName name="CommAssets">Notes!$D$73</definedName>
    <definedName name="Cost_of_Sale">Proforma!$I$159</definedName>
    <definedName name="CU?" localSheetId="16">WaterFall!$A$5</definedName>
    <definedName name="Current_Year">'IE Data Entry'!$B$3</definedName>
    <definedName name="DispositionFee">Proforma!$N$11</definedName>
    <definedName name="Equity_Share_LP" localSheetId="16">WaterFall!$C$9</definedName>
    <definedName name="Equity_Share_Sponsor" localSheetId="16">WaterFall!$C$8</definedName>
    <definedName name="GlobalInflation">Proforma!$J$6</definedName>
    <definedName name="GoingInCapToHide">Proforma!$C$9:$D$9</definedName>
    <definedName name="Hilton" localSheetId="15" hidden="1">{#N/A,#N/A,FALSE,"ExecSum";#N/A,#N/A,FALSE,"Summary";#N/A,#N/A,FALSE,"Budget";#N/A,#N/A,FALSE,"CashFlow"}</definedName>
    <definedName name="Hilton" localSheetId="16" hidden="1">{#N/A,#N/A,FALSE,"ExecSum";#N/A,#N/A,FALSE,"Summary";#N/A,#N/A,FALSE,"Budget";#N/A,#N/A,FALSE,"CashFlow"}</definedName>
    <definedName name="Hilton" localSheetId="9" hidden="1">{#N/A,#N/A,FALSE,"ExecSum";#N/A,#N/A,FALSE,"Summary";#N/A,#N/A,FALSE,"Budget";#N/A,#N/A,FALSE,"CashFlow"}</definedName>
    <definedName name="Hilton" hidden="1">{#N/A,#N/A,FALSE,"ExecSum";#N/A,#N/A,FALSE,"Summary";#N/A,#N/A,FALSE,"Budget";#N/A,#N/A,FALSE,"CashFlow"}</definedName>
    <definedName name="Income_Account_Codes">'BVG Chart Of Accounts'!$A$2:$B$13</definedName>
    <definedName name="InitialLoan">Proforma!$F$94</definedName>
    <definedName name="IntroPrintArea" localSheetId="16" hidden="1">#REF!</definedName>
    <definedName name="IntroPrintArea" hidden="1">#REF!</definedName>
    <definedName name="InvestorPref">Proforma!$K$24</definedName>
    <definedName name="InvestorPromote">Proforma!$K$22</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42145.5554861111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Maintenance___Capital_Reserve">'Year 1 Proforma'!$I$6</definedName>
    <definedName name="MgmtFee">Proforma!$J$7</definedName>
    <definedName name="MgmtFeeLimit">Proforma!$J$8</definedName>
    <definedName name="MoveCount">'IE Data Entry'!$O$2</definedName>
    <definedName name="NewTaxes">Notes!$D$54</definedName>
    <definedName name="NoHighlightRange">Proforma!$E$31:$AJ$87</definedName>
    <definedName name="NoOfSpaces">Proforma!$D$17</definedName>
    <definedName name="OccPadsNum">Proforma!$E$17</definedName>
    <definedName name="OtherFTE">Notes!$K$51</definedName>
    <definedName name="Park_Name">Proforma!$U$1</definedName>
    <definedName name="Preferred_Return" localSheetId="16">WaterFall!$E$14</definedName>
    <definedName name="_xlnm.Print_Titles" localSheetId="3">Proforma!$35:$36</definedName>
    <definedName name="_xlnm.Print_Titles" localSheetId="9">'Year 1 Proforma'!$27:$28</definedName>
    <definedName name="Promote_Structure" localSheetId="16">WaterFall!$B$13:$I$17</definedName>
    <definedName name="Purchase_Price">Proforma!$D$6</definedName>
    <definedName name="RefiCap">Proforma!$E$104</definedName>
    <definedName name="RefinanceFee">Proforma!$N$10</definedName>
    <definedName name="ResAssets">Notes!$D$79</definedName>
    <definedName name="SewerInflation">Proforma!$E$49</definedName>
    <definedName name="Total_Equity" localSheetId="16">WaterFall!$D$10</definedName>
    <definedName name="wrn.bankrep." localSheetId="15" hidden="1">{#N/A,#N/A,FALSE,"ExecSum";#N/A,#N/A,FALSE,"Summary";#N/A,#N/A,FALSE,"Budget";#N/A,#N/A,FALSE,"CashFlow"}</definedName>
    <definedName name="wrn.bankrep." localSheetId="16" hidden="1">{#N/A,#N/A,FALSE,"ExecSum";#N/A,#N/A,FALSE,"Summary";#N/A,#N/A,FALSE,"Budget";#N/A,#N/A,FALSE,"CashFlow"}</definedName>
    <definedName name="wrn.bankrep." localSheetId="9" hidden="1">{#N/A,#N/A,FALSE,"ExecSum";#N/A,#N/A,FALSE,"Summary";#N/A,#N/A,FALSE,"Budget";#N/A,#N/A,FALSE,"CashFlow"}</definedName>
    <definedName name="wrn.bankrep." hidden="1">{#N/A,#N/A,FALSE,"ExecSum";#N/A,#N/A,FALSE,"Summary";#N/A,#N/A,FALSE,"Budget";#N/A,#N/A,FALSE,"CashFlow"}</definedName>
  </definedNames>
  <calcPr calcId="191028"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8" i="8" l="1"/>
  <c r="F67" i="2"/>
  <c r="G142" i="1" l="1"/>
  <c r="F142" i="1"/>
  <c r="D39" i="8"/>
  <c r="D80" i="2"/>
  <c r="D161" i="1"/>
  <c r="D162" i="1"/>
  <c r="F108" i="1"/>
  <c r="O24" i="1"/>
  <c r="O23" i="1"/>
  <c r="N24" i="1"/>
  <c r="N23" i="1"/>
  <c r="E68" i="1"/>
  <c r="D93" i="1"/>
  <c r="F77" i="1"/>
  <c r="E71" i="1"/>
  <c r="D59" i="1"/>
  <c r="D60" i="1"/>
  <c r="D65" i="1"/>
  <c r="D73" i="1"/>
  <c r="D75" i="1"/>
  <c r="D76" i="1"/>
  <c r="D77" i="1"/>
  <c r="D79" i="1"/>
  <c r="F40" i="1"/>
  <c r="D42" i="1"/>
  <c r="D40" i="1"/>
  <c r="D83" i="1" l="1"/>
  <c r="D82" i="1"/>
  <c r="J31" i="1"/>
  <c r="J32" i="1"/>
  <c r="J33" i="1"/>
  <c r="I31" i="1"/>
  <c r="I32" i="1" l="1"/>
  <c r="I33" i="1"/>
  <c r="H31" i="1"/>
  <c r="H32" i="1"/>
  <c r="H33" i="1"/>
  <c r="G33" i="1"/>
  <c r="G32" i="1"/>
  <c r="G31" i="1"/>
  <c r="F31" i="1"/>
  <c r="G19" i="1"/>
  <c r="C10" i="2"/>
  <c r="D3" i="1"/>
  <c r="D2" i="1"/>
  <c r="I12" i="12"/>
  <c r="I13" i="12"/>
  <c r="I14" i="12"/>
  <c r="E111" i="1"/>
  <c r="G29" i="11" l="1"/>
  <c r="H29" i="11"/>
  <c r="H9" i="11"/>
  <c r="G9" i="11"/>
  <c r="D17" i="1"/>
  <c r="E6" i="1" s="1"/>
  <c r="F7" i="12"/>
  <c r="B22" i="20"/>
  <c r="B24" i="20" s="1"/>
  <c r="B9" i="20"/>
  <c r="B7" i="20"/>
  <c r="D12" i="1" l="1"/>
  <c r="D68" i="22" l="1"/>
  <c r="D65" i="22"/>
  <c r="D64" i="22"/>
  <c r="D63" i="22"/>
  <c r="D62" i="22"/>
  <c r="D57" i="22"/>
  <c r="D55" i="22"/>
  <c r="B38" i="22"/>
  <c r="B37" i="22"/>
  <c r="B36" i="22"/>
  <c r="B35" i="22"/>
  <c r="B34" i="22"/>
  <c r="C19" i="22"/>
  <c r="C18" i="22"/>
  <c r="D17" i="22"/>
  <c r="C17" i="22"/>
  <c r="D9" i="22"/>
  <c r="C9" i="22"/>
  <c r="D8" i="22"/>
  <c r="C8" i="22"/>
  <c r="E8" i="22" s="1"/>
  <c r="F8" i="22" s="1"/>
  <c r="D7" i="22"/>
  <c r="C7" i="22"/>
  <c r="B1" i="22"/>
  <c r="S1" i="22" s="1"/>
  <c r="C1" i="22" s="1"/>
  <c r="B33" i="22"/>
  <c r="B69" i="22"/>
  <c r="B56" i="22"/>
  <c r="C45" i="22"/>
  <c r="C22" i="22" s="1"/>
  <c r="B25" i="22"/>
  <c r="B29" i="22" s="1"/>
  <c r="B23" i="22"/>
  <c r="B27" i="22" s="1"/>
  <c r="B19" i="22"/>
  <c r="B18" i="22"/>
  <c r="B24" i="22" s="1"/>
  <c r="B28" i="22" s="1"/>
  <c r="B17" i="22"/>
  <c r="E12" i="22"/>
  <c r="C4" i="22"/>
  <c r="T1" i="1"/>
  <c r="D1" i="1" s="1"/>
  <c r="B21" i="20"/>
  <c r="G7" i="20"/>
  <c r="G8" i="20" s="1"/>
  <c r="C5" i="20"/>
  <c r="H4" i="20"/>
  <c r="C4" i="20"/>
  <c r="H3" i="20"/>
  <c r="C3" i="20"/>
  <c r="B1" i="20"/>
  <c r="AI115" i="1"/>
  <c r="AJ115" i="1"/>
  <c r="O25" i="1"/>
  <c r="N25" i="1"/>
  <c r="D75" i="22" s="1"/>
  <c r="G29" i="1"/>
  <c r="H29" i="1" s="1"/>
  <c r="I29" i="1" s="1"/>
  <c r="J29" i="1" s="1"/>
  <c r="K29" i="1" s="1"/>
  <c r="L29" i="1" s="1"/>
  <c r="M29" i="1" s="1"/>
  <c r="N29" i="1" s="1"/>
  <c r="O29" i="1" s="1"/>
  <c r="P29" i="1" s="1"/>
  <c r="Q29" i="1" s="1"/>
  <c r="R29" i="1" s="1"/>
  <c r="S29" i="1" s="1"/>
  <c r="T29" i="1" s="1"/>
  <c r="U29" i="1" s="1"/>
  <c r="V29" i="1" s="1"/>
  <c r="W29" i="1" s="1"/>
  <c r="X29" i="1" s="1"/>
  <c r="Y29" i="1" s="1"/>
  <c r="Z29" i="1" s="1"/>
  <c r="AA29" i="1" s="1"/>
  <c r="AB29" i="1" s="1"/>
  <c r="AC29" i="1" s="1"/>
  <c r="AD29" i="1" s="1"/>
  <c r="AE29" i="1" s="1"/>
  <c r="AF29" i="1" s="1"/>
  <c r="AG29" i="1" s="1"/>
  <c r="AH29" i="1" s="1"/>
  <c r="AI29" i="1" s="1"/>
  <c r="AJ29" i="1" s="1"/>
  <c r="D32" i="12"/>
  <c r="G7" i="19"/>
  <c r="G5" i="19"/>
  <c r="Q39" i="19"/>
  <c r="Q40" i="19" s="1"/>
  <c r="R39" i="19"/>
  <c r="R40" i="19" s="1"/>
  <c r="S39" i="19"/>
  <c r="S40" i="19" s="1"/>
  <c r="T39" i="19"/>
  <c r="T40" i="19" s="1"/>
  <c r="U39" i="19"/>
  <c r="U40" i="19" s="1"/>
  <c r="B106" i="19"/>
  <c r="B99" i="19"/>
  <c r="B93" i="19"/>
  <c r="B84" i="19"/>
  <c r="F81" i="19"/>
  <c r="B78" i="19"/>
  <c r="F74" i="19"/>
  <c r="C73" i="19"/>
  <c r="B80" i="19"/>
  <c r="B69" i="19"/>
  <c r="B67" i="19"/>
  <c r="F62" i="19"/>
  <c r="B59" i="19"/>
  <c r="F53" i="19"/>
  <c r="F38" i="19"/>
  <c r="G38" i="19"/>
  <c r="G37" i="19"/>
  <c r="F31" i="19"/>
  <c r="H17" i="19"/>
  <c r="I17" i="19" s="1"/>
  <c r="E16" i="19"/>
  <c r="C88" i="19"/>
  <c r="E15" i="19"/>
  <c r="H14" i="19"/>
  <c r="I14" i="19" s="1"/>
  <c r="J14" i="19" s="1"/>
  <c r="E14" i="19"/>
  <c r="C52" i="19"/>
  <c r="B13" i="19"/>
  <c r="C9" i="19"/>
  <c r="A5" i="19"/>
  <c r="H16" i="19"/>
  <c r="I16" i="19"/>
  <c r="J17" i="19" s="1"/>
  <c r="H15" i="19"/>
  <c r="I15" i="19" s="1"/>
  <c r="B95" i="19"/>
  <c r="C103" i="19"/>
  <c r="C44" i="19"/>
  <c r="H37" i="19"/>
  <c r="F55" i="19"/>
  <c r="F75" i="19"/>
  <c r="F63" i="19"/>
  <c r="E17" i="1"/>
  <c r="D44" i="19"/>
  <c r="F44" i="19"/>
  <c r="I37" i="19"/>
  <c r="H38" i="19"/>
  <c r="G65" i="12"/>
  <c r="H60" i="12"/>
  <c r="H65" i="12" s="1"/>
  <c r="I38" i="19"/>
  <c r="J37" i="19"/>
  <c r="D25" i="11"/>
  <c r="E25" i="11"/>
  <c r="F25" i="11"/>
  <c r="G25" i="11"/>
  <c r="I25" i="11"/>
  <c r="C25" i="11"/>
  <c r="F101" i="11"/>
  <c r="J38" i="19"/>
  <c r="K37" i="19"/>
  <c r="C81" i="1"/>
  <c r="L37" i="19"/>
  <c r="K38" i="19"/>
  <c r="M37" i="19"/>
  <c r="L38" i="19"/>
  <c r="M38" i="19"/>
  <c r="N37" i="19"/>
  <c r="N38" i="19"/>
  <c r="O37" i="19"/>
  <c r="P37" i="19"/>
  <c r="O38" i="19"/>
  <c r="Q37" i="19"/>
  <c r="P38" i="19"/>
  <c r="Q67" i="19"/>
  <c r="Q54" i="19"/>
  <c r="Q53" i="19"/>
  <c r="Q57" i="19" s="1"/>
  <c r="Q60" i="19" s="1"/>
  <c r="Q77" i="19" s="1"/>
  <c r="Q66" i="19"/>
  <c r="Q65" i="19"/>
  <c r="Q89" i="19" s="1"/>
  <c r="Q90" i="19" s="1"/>
  <c r="Q64" i="19"/>
  <c r="Q62" i="19"/>
  <c r="Q63" i="19" s="1"/>
  <c r="Q47" i="19"/>
  <c r="Q38" i="19"/>
  <c r="Q74" i="19"/>
  <c r="Q82" i="19" s="1"/>
  <c r="R37" i="19"/>
  <c r="Q85" i="19"/>
  <c r="Q75" i="19"/>
  <c r="Q76" i="19"/>
  <c r="R74" i="19"/>
  <c r="R83" i="19" s="1"/>
  <c r="R54" i="19"/>
  <c r="R53" i="19"/>
  <c r="R58" i="19" s="1"/>
  <c r="R67" i="19"/>
  <c r="R66" i="19"/>
  <c r="R64" i="19"/>
  <c r="R62" i="19"/>
  <c r="R63" i="19" s="1"/>
  <c r="R38" i="19"/>
  <c r="S37" i="19"/>
  <c r="R65" i="19"/>
  <c r="R89" i="19" s="1"/>
  <c r="R91" i="19" s="1"/>
  <c r="R47" i="19"/>
  <c r="Q55" i="19"/>
  <c r="Q59" i="19"/>
  <c r="S74" i="19"/>
  <c r="S66" i="19"/>
  <c r="S65" i="19"/>
  <c r="S89" i="19" s="1"/>
  <c r="S90" i="19" s="1"/>
  <c r="S64" i="19"/>
  <c r="S62" i="19"/>
  <c r="S63" i="19" s="1"/>
  <c r="S54" i="19"/>
  <c r="S53" i="19"/>
  <c r="S67" i="19"/>
  <c r="T37" i="19"/>
  <c r="S47" i="19"/>
  <c r="S38" i="19"/>
  <c r="R41" i="19"/>
  <c r="R42" i="19" s="1"/>
  <c r="T47" i="19"/>
  <c r="T67" i="19"/>
  <c r="U37" i="19"/>
  <c r="T38" i="19"/>
  <c r="T74" i="19"/>
  <c r="T81" i="19" s="1"/>
  <c r="T62" i="19"/>
  <c r="T63" i="19" s="1"/>
  <c r="T54" i="19"/>
  <c r="T53" i="19"/>
  <c r="T69" i="19" s="1"/>
  <c r="T66" i="19"/>
  <c r="T65" i="19"/>
  <c r="T89" i="19" s="1"/>
  <c r="T64" i="19"/>
  <c r="U67" i="19"/>
  <c r="U54" i="19"/>
  <c r="U53" i="19"/>
  <c r="U55" i="19" s="1"/>
  <c r="U38" i="19"/>
  <c r="U66" i="19"/>
  <c r="U65" i="19"/>
  <c r="U89" i="19" s="1"/>
  <c r="U64" i="19"/>
  <c r="U62" i="19"/>
  <c r="U63" i="19" s="1"/>
  <c r="U47" i="19"/>
  <c r="U74" i="19"/>
  <c r="U81" i="19" s="1"/>
  <c r="C32" i="1"/>
  <c r="C37" i="1" s="1"/>
  <c r="C41" i="1" s="1"/>
  <c r="C33" i="1"/>
  <c r="C38" i="1" s="1"/>
  <c r="C42" i="1" s="1"/>
  <c r="C31" i="1"/>
  <c r="C36" i="1" s="1"/>
  <c r="C40" i="1" s="1"/>
  <c r="D38" i="1"/>
  <c r="D37" i="1"/>
  <c r="D36" i="1"/>
  <c r="J2" i="17"/>
  <c r="B7" i="17"/>
  <c r="N2" i="17"/>
  <c r="L2" i="17"/>
  <c r="B3" i="17"/>
  <c r="E2" i="17" s="1"/>
  <c r="B2" i="17"/>
  <c r="AB2" i="17"/>
  <c r="AA2" i="17"/>
  <c r="Z2" i="17"/>
  <c r="W2" i="17"/>
  <c r="U2" i="17"/>
  <c r="S2" i="17"/>
  <c r="K2" i="17"/>
  <c r="H2" i="17"/>
  <c r="G2" i="17"/>
  <c r="B23" i="17"/>
  <c r="Y2" i="17"/>
  <c r="X2" i="17"/>
  <c r="T2" i="17"/>
  <c r="V2" i="17"/>
  <c r="D2" i="17"/>
  <c r="C102" i="1"/>
  <c r="F19" i="1"/>
  <c r="D163" i="1"/>
  <c r="E163" i="1" s="1"/>
  <c r="E37" i="1"/>
  <c r="E38" i="1"/>
  <c r="E36" i="1"/>
  <c r="C68" i="1"/>
  <c r="F47" i="1"/>
  <c r="D34" i="22" s="1"/>
  <c r="E34" i="22" s="1"/>
  <c r="F48" i="1"/>
  <c r="G48" i="1" s="1"/>
  <c r="H48" i="1" s="1"/>
  <c r="I48" i="1" s="1"/>
  <c r="J48" i="1" s="1"/>
  <c r="K48" i="1" s="1"/>
  <c r="L48" i="1" s="1"/>
  <c r="M48" i="1" s="1"/>
  <c r="N48" i="1" s="1"/>
  <c r="O48" i="1" s="1"/>
  <c r="P48" i="1" s="1"/>
  <c r="Q48" i="1" s="1"/>
  <c r="R48" i="1" s="1"/>
  <c r="S48" i="1" s="1"/>
  <c r="T48" i="1" s="1"/>
  <c r="U48" i="1" s="1"/>
  <c r="V48" i="1" s="1"/>
  <c r="W48" i="1" s="1"/>
  <c r="X48" i="1" s="1"/>
  <c r="Y48" i="1" s="1"/>
  <c r="Z48" i="1" s="1"/>
  <c r="AA48" i="1" s="1"/>
  <c r="AB48" i="1" s="1"/>
  <c r="AC48" i="1" s="1"/>
  <c r="AD48" i="1" s="1"/>
  <c r="AE48" i="1" s="1"/>
  <c r="AF48" i="1" s="1"/>
  <c r="AG48" i="1" s="1"/>
  <c r="AH48" i="1" s="1"/>
  <c r="AI48" i="1" s="1"/>
  <c r="AJ48" i="1" s="1"/>
  <c r="F49" i="1"/>
  <c r="D36" i="22" s="1"/>
  <c r="E36" i="22" s="1"/>
  <c r="F50" i="1"/>
  <c r="B50" i="1" s="1"/>
  <c r="F51" i="1"/>
  <c r="D38" i="22" s="1"/>
  <c r="E38" i="22" s="1"/>
  <c r="F46" i="1"/>
  <c r="D33" i="22" s="1"/>
  <c r="B49" i="1"/>
  <c r="G46" i="1"/>
  <c r="H46" i="1" s="1"/>
  <c r="I46" i="1" s="1"/>
  <c r="J46" i="1" s="1"/>
  <c r="K46" i="1" s="1"/>
  <c r="L46" i="1" s="1"/>
  <c r="M46" i="1" s="1"/>
  <c r="N46" i="1" s="1"/>
  <c r="O46" i="1" s="1"/>
  <c r="P46" i="1" s="1"/>
  <c r="Q46" i="1" s="1"/>
  <c r="R46" i="1" s="1"/>
  <c r="S46" i="1" s="1"/>
  <c r="T46" i="1" s="1"/>
  <c r="U46" i="1" s="1"/>
  <c r="V46" i="1" s="1"/>
  <c r="W46" i="1" s="1"/>
  <c r="X46" i="1" s="1"/>
  <c r="Y46" i="1" s="1"/>
  <c r="Z46" i="1" s="1"/>
  <c r="AA46" i="1" s="1"/>
  <c r="AB46" i="1" s="1"/>
  <c r="AC46" i="1" s="1"/>
  <c r="AD46" i="1" s="1"/>
  <c r="AE46" i="1" s="1"/>
  <c r="AF46" i="1" s="1"/>
  <c r="AG46" i="1" s="1"/>
  <c r="AH46" i="1" s="1"/>
  <c r="AI46" i="1" s="1"/>
  <c r="G49" i="1"/>
  <c r="H49" i="1" s="1"/>
  <c r="I49" i="1" s="1"/>
  <c r="J49" i="1" s="1"/>
  <c r="K49" i="1" s="1"/>
  <c r="L49" i="1" s="1"/>
  <c r="M49" i="1" s="1"/>
  <c r="N49" i="1" s="1"/>
  <c r="O49" i="1" s="1"/>
  <c r="P49" i="1" s="1"/>
  <c r="Q49" i="1" s="1"/>
  <c r="R49" i="1" s="1"/>
  <c r="S49" i="1" s="1"/>
  <c r="T49" i="1" s="1"/>
  <c r="U49" i="1" s="1"/>
  <c r="V49" i="1" s="1"/>
  <c r="W49" i="1" s="1"/>
  <c r="X49" i="1" s="1"/>
  <c r="Y49" i="1" s="1"/>
  <c r="Z49" i="1" s="1"/>
  <c r="AA49" i="1" s="1"/>
  <c r="AB49" i="1" s="1"/>
  <c r="AC49" i="1" s="1"/>
  <c r="AD49" i="1" s="1"/>
  <c r="AE49" i="1" s="1"/>
  <c r="AF49" i="1" s="1"/>
  <c r="AG49" i="1" s="1"/>
  <c r="AH49" i="1" s="1"/>
  <c r="AI49" i="1" s="1"/>
  <c r="AJ49" i="1" s="1"/>
  <c r="H18" i="12"/>
  <c r="B7" i="16"/>
  <c r="A7" i="16"/>
  <c r="G333" i="1"/>
  <c r="H333" i="1"/>
  <c r="I333" i="1"/>
  <c r="J333" i="1"/>
  <c r="K333" i="1"/>
  <c r="L333" i="1"/>
  <c r="M333" i="1"/>
  <c r="N333" i="1"/>
  <c r="O333" i="1"/>
  <c r="K334" i="1"/>
  <c r="L334" i="1"/>
  <c r="M334" i="1"/>
  <c r="N334" i="1"/>
  <c r="O334" i="1"/>
  <c r="G335" i="1"/>
  <c r="H335" i="1"/>
  <c r="I335" i="1"/>
  <c r="J335" i="1"/>
  <c r="K335" i="1"/>
  <c r="L335" i="1"/>
  <c r="M335" i="1"/>
  <c r="N335" i="1"/>
  <c r="O335" i="1"/>
  <c r="G338" i="1"/>
  <c r="H338" i="1"/>
  <c r="I338" i="1"/>
  <c r="J338" i="1"/>
  <c r="K338" i="1"/>
  <c r="L338" i="1"/>
  <c r="M338" i="1"/>
  <c r="N338" i="1"/>
  <c r="F333" i="1"/>
  <c r="F335" i="1"/>
  <c r="F337" i="1"/>
  <c r="F338" i="1"/>
  <c r="C301" i="1"/>
  <c r="C350" i="1" s="1"/>
  <c r="C311" i="1"/>
  <c r="C360" i="1" s="1"/>
  <c r="C312" i="1"/>
  <c r="C361" i="1" s="1"/>
  <c r="G284" i="1"/>
  <c r="H284" i="1"/>
  <c r="I284" i="1"/>
  <c r="J284" i="1"/>
  <c r="G286" i="1"/>
  <c r="H286" i="1"/>
  <c r="I286" i="1"/>
  <c r="J286" i="1"/>
  <c r="G289" i="1"/>
  <c r="H289" i="1"/>
  <c r="I289" i="1"/>
  <c r="F284" i="1"/>
  <c r="F286" i="1"/>
  <c r="F288" i="1"/>
  <c r="F289" i="1"/>
  <c r="C279" i="1"/>
  <c r="C328" i="1" s="1"/>
  <c r="C290" i="1"/>
  <c r="C339" i="1" s="1"/>
  <c r="C247" i="1"/>
  <c r="C296" i="1" s="1"/>
  <c r="C345" i="1" s="1"/>
  <c r="C248" i="1"/>
  <c r="C297" i="1" s="1"/>
  <c r="C346" i="1" s="1"/>
  <c r="C249" i="1"/>
  <c r="C298" i="1" s="1"/>
  <c r="C347" i="1" s="1"/>
  <c r="C250" i="1"/>
  <c r="C299" i="1" s="1"/>
  <c r="C348" i="1" s="1"/>
  <c r="C251" i="1"/>
  <c r="C300" i="1" s="1"/>
  <c r="C349" i="1" s="1"/>
  <c r="C253" i="1"/>
  <c r="C302" i="1" s="1"/>
  <c r="C351" i="1" s="1"/>
  <c r="C254" i="1"/>
  <c r="C303" i="1" s="1"/>
  <c r="C352" i="1" s="1"/>
  <c r="C255" i="1"/>
  <c r="C304" i="1" s="1"/>
  <c r="C353" i="1" s="1"/>
  <c r="C256" i="1"/>
  <c r="C305" i="1" s="1"/>
  <c r="C354" i="1" s="1"/>
  <c r="C257" i="1"/>
  <c r="C306" i="1" s="1"/>
  <c r="C355" i="1" s="1"/>
  <c r="C258" i="1"/>
  <c r="C307" i="1" s="1"/>
  <c r="C356" i="1" s="1"/>
  <c r="C259" i="1"/>
  <c r="C308" i="1" s="1"/>
  <c r="C357" i="1" s="1"/>
  <c r="C246" i="1"/>
  <c r="C295" i="1" s="1"/>
  <c r="C344" i="1" s="1"/>
  <c r="F231" i="1"/>
  <c r="G231" i="1"/>
  <c r="H231" i="1"/>
  <c r="F235" i="1"/>
  <c r="G235" i="1"/>
  <c r="H235" i="1"/>
  <c r="F237" i="1"/>
  <c r="G237" i="1"/>
  <c r="H237" i="1"/>
  <c r="F239" i="1"/>
  <c r="F240" i="1"/>
  <c r="G240" i="1"/>
  <c r="C223" i="1"/>
  <c r="C272" i="1" s="1"/>
  <c r="C321" i="1" s="1"/>
  <c r="C224" i="1"/>
  <c r="C273" i="1" s="1"/>
  <c r="C322" i="1" s="1"/>
  <c r="C225" i="1"/>
  <c r="C274" i="1" s="1"/>
  <c r="C323" i="1" s="1"/>
  <c r="C226" i="1"/>
  <c r="C275" i="1" s="1"/>
  <c r="C324" i="1" s="1"/>
  <c r="C227" i="1"/>
  <c r="C276" i="1" s="1"/>
  <c r="C325" i="1" s="1"/>
  <c r="C228" i="1"/>
  <c r="C277" i="1" s="1"/>
  <c r="C326" i="1" s="1"/>
  <c r="C232" i="1"/>
  <c r="C281" i="1" s="1"/>
  <c r="C330" i="1" s="1"/>
  <c r="C234" i="1"/>
  <c r="C283" i="1" s="1"/>
  <c r="C332" i="1" s="1"/>
  <c r="C235" i="1"/>
  <c r="C284" i="1" s="1"/>
  <c r="C333" i="1" s="1"/>
  <c r="C236" i="1"/>
  <c r="C285" i="1" s="1"/>
  <c r="C334" i="1" s="1"/>
  <c r="C237" i="1"/>
  <c r="C286" i="1" s="1"/>
  <c r="C335" i="1" s="1"/>
  <c r="C238" i="1"/>
  <c r="C287" i="1" s="1"/>
  <c r="C336" i="1" s="1"/>
  <c r="C239" i="1"/>
  <c r="C288" i="1" s="1"/>
  <c r="C337" i="1" s="1"/>
  <c r="C240" i="1"/>
  <c r="C289" i="1" s="1"/>
  <c r="C338" i="1" s="1"/>
  <c r="C242" i="1"/>
  <c r="C291" i="1" s="1"/>
  <c r="C340" i="1" s="1"/>
  <c r="C222" i="1"/>
  <c r="C271" i="1" s="1"/>
  <c r="C320" i="1" s="1"/>
  <c r="C28" i="2"/>
  <c r="B11" i="16" s="1"/>
  <c r="B14" i="16" s="1"/>
  <c r="B16" i="16" s="1"/>
  <c r="J212" i="1"/>
  <c r="I48" i="2"/>
  <c r="I51" i="2" s="1"/>
  <c r="G51" i="2"/>
  <c r="J51" i="2" s="1"/>
  <c r="I50" i="2"/>
  <c r="I49" i="2"/>
  <c r="G45" i="2"/>
  <c r="K45" i="2" s="1"/>
  <c r="I44" i="2"/>
  <c r="I43" i="2"/>
  <c r="I42" i="2"/>
  <c r="I37" i="2"/>
  <c r="I38" i="2"/>
  <c r="G39" i="2"/>
  <c r="I36" i="2"/>
  <c r="F16" i="1"/>
  <c r="G16" i="1" s="1"/>
  <c r="F15" i="1"/>
  <c r="G15" i="1" s="1"/>
  <c r="H45" i="2"/>
  <c r="J45" i="2"/>
  <c r="H51" i="12"/>
  <c r="I51" i="12" s="1"/>
  <c r="C161" i="1"/>
  <c r="D35" i="2"/>
  <c r="D41" i="2" s="1"/>
  <c r="D53" i="2"/>
  <c r="D52" i="2"/>
  <c r="B50" i="2"/>
  <c r="D63" i="2"/>
  <c r="O2" i="11"/>
  <c r="D57" i="1"/>
  <c r="G30" i="16"/>
  <c r="H30" i="16"/>
  <c r="F321" i="1"/>
  <c r="F95" i="1"/>
  <c r="F322" i="1" s="1"/>
  <c r="F195" i="1"/>
  <c r="F96" i="1"/>
  <c r="F225" i="1" s="1"/>
  <c r="D77" i="2"/>
  <c r="D76" i="2"/>
  <c r="D75" i="2"/>
  <c r="D73" i="2"/>
  <c r="G92" i="1"/>
  <c r="G95" i="1" s="1"/>
  <c r="G322" i="1" s="1"/>
  <c r="G55" i="12"/>
  <c r="G54" i="12"/>
  <c r="G53" i="12"/>
  <c r="G52" i="12"/>
  <c r="G51" i="12"/>
  <c r="G50" i="12"/>
  <c r="G47" i="12"/>
  <c r="G46" i="12"/>
  <c r="G43" i="12"/>
  <c r="G42" i="12"/>
  <c r="G38" i="12"/>
  <c r="G91" i="12" s="1"/>
  <c r="G36" i="12"/>
  <c r="G79" i="12" s="1"/>
  <c r="G35" i="12"/>
  <c r="G73" i="12" s="1"/>
  <c r="E53" i="12"/>
  <c r="E50" i="12"/>
  <c r="E48" i="12"/>
  <c r="E45" i="12"/>
  <c r="E42" i="12"/>
  <c r="E40" i="12"/>
  <c r="E37" i="12"/>
  <c r="E85" i="12" s="1"/>
  <c r="E34" i="12"/>
  <c r="F59" i="12"/>
  <c r="F65" i="12" s="1"/>
  <c r="E55" i="12"/>
  <c r="D55" i="12"/>
  <c r="C55" i="12"/>
  <c r="B55" i="12"/>
  <c r="E54" i="12"/>
  <c r="D54" i="12"/>
  <c r="C54" i="12"/>
  <c r="B54" i="12"/>
  <c r="D53" i="12"/>
  <c r="C53" i="12"/>
  <c r="B53" i="12"/>
  <c r="E52" i="12"/>
  <c r="D52" i="12"/>
  <c r="C52" i="12"/>
  <c r="B52" i="12"/>
  <c r="E51" i="12"/>
  <c r="D51" i="12"/>
  <c r="C51" i="12"/>
  <c r="B51" i="12"/>
  <c r="D50" i="12"/>
  <c r="C50" i="12"/>
  <c r="B50" i="12"/>
  <c r="G49" i="12"/>
  <c r="E49" i="12"/>
  <c r="D49" i="12"/>
  <c r="C49" i="12"/>
  <c r="B49" i="12"/>
  <c r="G48" i="12"/>
  <c r="D48" i="12"/>
  <c r="C48" i="12"/>
  <c r="B48" i="12"/>
  <c r="E47" i="12"/>
  <c r="D47" i="12"/>
  <c r="C47" i="12"/>
  <c r="B47" i="12"/>
  <c r="E46" i="12"/>
  <c r="D46" i="12"/>
  <c r="C46" i="12"/>
  <c r="B46" i="12"/>
  <c r="G45" i="12"/>
  <c r="D45" i="12"/>
  <c r="C45" i="12"/>
  <c r="B45" i="12"/>
  <c r="G44" i="12"/>
  <c r="E44" i="12"/>
  <c r="D44" i="12"/>
  <c r="C44" i="12"/>
  <c r="B44" i="12"/>
  <c r="E43" i="12"/>
  <c r="D43" i="12"/>
  <c r="C43" i="12"/>
  <c r="B43" i="12"/>
  <c r="D42" i="12"/>
  <c r="C42" i="12"/>
  <c r="B42" i="12"/>
  <c r="G41" i="12"/>
  <c r="E41" i="12"/>
  <c r="D41" i="12"/>
  <c r="C41" i="12"/>
  <c r="B41" i="12"/>
  <c r="G40" i="12"/>
  <c r="D40" i="12"/>
  <c r="C40" i="12"/>
  <c r="B40" i="12"/>
  <c r="G39" i="12"/>
  <c r="E39" i="12"/>
  <c r="E97" i="12" s="1"/>
  <c r="D39" i="12"/>
  <c r="C39" i="12"/>
  <c r="C97" i="12" s="1"/>
  <c r="B39" i="12"/>
  <c r="B97" i="12" s="1"/>
  <c r="E38" i="12"/>
  <c r="E103" i="12" s="1"/>
  <c r="D38" i="12"/>
  <c r="C38" i="12"/>
  <c r="B38" i="12"/>
  <c r="G37" i="12"/>
  <c r="G85" i="12" s="1"/>
  <c r="D37" i="12"/>
  <c r="D85" i="12" s="1"/>
  <c r="C37" i="12"/>
  <c r="C85" i="12" s="1"/>
  <c r="B37" i="12"/>
  <c r="B85" i="12" s="1"/>
  <c r="E36" i="12"/>
  <c r="E79" i="12" s="1"/>
  <c r="D36" i="12"/>
  <c r="C36" i="12"/>
  <c r="C79" i="12" s="1"/>
  <c r="B36" i="12"/>
  <c r="B79" i="12" s="1"/>
  <c r="E35" i="12"/>
  <c r="E73" i="12" s="1"/>
  <c r="D35" i="12"/>
  <c r="C35" i="12"/>
  <c r="B35" i="12"/>
  <c r="B73" i="12" s="1"/>
  <c r="G34" i="12"/>
  <c r="D34" i="12"/>
  <c r="C34" i="12"/>
  <c r="B34" i="12"/>
  <c r="G33" i="12"/>
  <c r="E33" i="12"/>
  <c r="D33" i="12"/>
  <c r="C33" i="12"/>
  <c r="B33" i="12"/>
  <c r="E32" i="12"/>
  <c r="C32" i="12"/>
  <c r="B32" i="12"/>
  <c r="F31" i="12"/>
  <c r="F110" i="12" s="1"/>
  <c r="G24" i="12"/>
  <c r="F24" i="12"/>
  <c r="E24" i="12"/>
  <c r="D24" i="12"/>
  <c r="C24" i="12"/>
  <c r="B24" i="12"/>
  <c r="G20" i="12"/>
  <c r="F20" i="12"/>
  <c r="E20" i="12"/>
  <c r="D20" i="12"/>
  <c r="C20" i="12"/>
  <c r="B20" i="12"/>
  <c r="G19" i="12"/>
  <c r="G96" i="12" s="1"/>
  <c r="F19" i="12"/>
  <c r="F96" i="12" s="1"/>
  <c r="E19" i="12"/>
  <c r="E96" i="12" s="1"/>
  <c r="D19" i="12"/>
  <c r="D96" i="12" s="1"/>
  <c r="C19" i="12"/>
  <c r="C96" i="12" s="1"/>
  <c r="B19" i="12"/>
  <c r="G18" i="12"/>
  <c r="G90" i="12" s="1"/>
  <c r="F18" i="12"/>
  <c r="E18" i="12"/>
  <c r="E90" i="12" s="1"/>
  <c r="D18" i="12"/>
  <c r="C18" i="12"/>
  <c r="C90" i="12" s="1"/>
  <c r="B18" i="12"/>
  <c r="G17" i="12"/>
  <c r="G84" i="12" s="1"/>
  <c r="F17" i="12"/>
  <c r="F84" i="12" s="1"/>
  <c r="E17" i="12"/>
  <c r="E84" i="12" s="1"/>
  <c r="D17" i="12"/>
  <c r="D84" i="12" s="1"/>
  <c r="C17" i="12"/>
  <c r="C84" i="12" s="1"/>
  <c r="B17" i="12"/>
  <c r="G16" i="12"/>
  <c r="G78" i="12" s="1"/>
  <c r="F16" i="12"/>
  <c r="F78" i="12" s="1"/>
  <c r="E16" i="12"/>
  <c r="D16" i="12"/>
  <c r="D78" i="12" s="1"/>
  <c r="C16" i="12"/>
  <c r="B16" i="12"/>
  <c r="G15" i="12"/>
  <c r="G72" i="12" s="1"/>
  <c r="F15" i="12"/>
  <c r="F72" i="12" s="1"/>
  <c r="E15" i="12"/>
  <c r="E72" i="12" s="1"/>
  <c r="D15" i="12"/>
  <c r="D72" i="12" s="1"/>
  <c r="C15" i="12"/>
  <c r="C72" i="12" s="1"/>
  <c r="B15" i="12"/>
  <c r="G10" i="12"/>
  <c r="F10" i="12"/>
  <c r="E10" i="12"/>
  <c r="D10" i="12"/>
  <c r="C10" i="12"/>
  <c r="B10" i="12"/>
  <c r="G9" i="12"/>
  <c r="F9" i="12"/>
  <c r="E9" i="12"/>
  <c r="D9" i="12"/>
  <c r="C9" i="12"/>
  <c r="B9" i="12"/>
  <c r="G8" i="12"/>
  <c r="F8" i="12"/>
  <c r="E8" i="12"/>
  <c r="D8" i="12"/>
  <c r="C8" i="12"/>
  <c r="B8" i="12"/>
  <c r="G7" i="12"/>
  <c r="E7" i="12"/>
  <c r="D7" i="12"/>
  <c r="C7" i="12"/>
  <c r="B7" i="12"/>
  <c r="F4" i="12"/>
  <c r="A1" i="12"/>
  <c r="E101" i="11"/>
  <c r="D101" i="11"/>
  <c r="C101" i="11"/>
  <c r="K100" i="11"/>
  <c r="K99" i="11"/>
  <c r="K98" i="11"/>
  <c r="K97" i="11"/>
  <c r="K96" i="11"/>
  <c r="K95" i="11"/>
  <c r="K94" i="11"/>
  <c r="K93" i="11"/>
  <c r="K92" i="11"/>
  <c r="K91" i="11"/>
  <c r="K90" i="11"/>
  <c r="K89" i="11"/>
  <c r="K88" i="11"/>
  <c r="K87" i="11"/>
  <c r="K86" i="11"/>
  <c r="K85" i="11"/>
  <c r="K84" i="11"/>
  <c r="K83" i="11"/>
  <c r="K82" i="11"/>
  <c r="K81" i="11"/>
  <c r="K80" i="11"/>
  <c r="K79" i="11"/>
  <c r="K78" i="11"/>
  <c r="K77" i="11"/>
  <c r="K76" i="11"/>
  <c r="K75" i="11"/>
  <c r="K74" i="11"/>
  <c r="K73" i="11"/>
  <c r="K72" i="11"/>
  <c r="K71" i="11"/>
  <c r="K70" i="11"/>
  <c r="K69" i="11"/>
  <c r="K68" i="11"/>
  <c r="K67" i="11"/>
  <c r="K66" i="11"/>
  <c r="K65" i="11"/>
  <c r="K64" i="11"/>
  <c r="K63" i="11"/>
  <c r="K62" i="11"/>
  <c r="K61" i="11"/>
  <c r="K60" i="11"/>
  <c r="K59" i="11"/>
  <c r="K58" i="11"/>
  <c r="K57" i="11"/>
  <c r="K56" i="11"/>
  <c r="K55" i="11"/>
  <c r="K54" i="11"/>
  <c r="K53" i="11"/>
  <c r="K52" i="11"/>
  <c r="K51" i="11"/>
  <c r="K50" i="11"/>
  <c r="K49" i="11"/>
  <c r="K48" i="11"/>
  <c r="K47" i="11"/>
  <c r="K46" i="11"/>
  <c r="K45" i="11"/>
  <c r="K44" i="11"/>
  <c r="K43" i="11"/>
  <c r="K42" i="11"/>
  <c r="K41" i="11"/>
  <c r="K40" i="11"/>
  <c r="K39" i="11"/>
  <c r="K38" i="11"/>
  <c r="K37" i="11"/>
  <c r="K36" i="11"/>
  <c r="K35" i="11"/>
  <c r="K34" i="11"/>
  <c r="K33" i="11"/>
  <c r="K32" i="11"/>
  <c r="K31" i="11"/>
  <c r="K30" i="11"/>
  <c r="F29" i="11"/>
  <c r="E31" i="12"/>
  <c r="E60" i="12" s="1"/>
  <c r="E110" i="12" s="1"/>
  <c r="K24" i="11"/>
  <c r="K23" i="11"/>
  <c r="K22" i="11"/>
  <c r="K21" i="11"/>
  <c r="K20" i="11"/>
  <c r="K19" i="11"/>
  <c r="K18" i="11"/>
  <c r="K17" i="11"/>
  <c r="K16" i="11"/>
  <c r="K15" i="11"/>
  <c r="K14" i="11"/>
  <c r="K13" i="11"/>
  <c r="K12" i="11"/>
  <c r="K11" i="11"/>
  <c r="K10" i="11"/>
  <c r="H5" i="11"/>
  <c r="H99" i="11"/>
  <c r="A5" i="11"/>
  <c r="B4" i="11"/>
  <c r="L56" i="12" s="1"/>
  <c r="B91" i="12"/>
  <c r="C73" i="12"/>
  <c r="H51" i="11"/>
  <c r="F53" i="12"/>
  <c r="G101" i="11"/>
  <c r="E5" i="12"/>
  <c r="H10" i="11"/>
  <c r="H25" i="11" s="1"/>
  <c r="H14" i="11"/>
  <c r="H18" i="11"/>
  <c r="H22" i="11"/>
  <c r="H32" i="11"/>
  <c r="F34" i="12"/>
  <c r="H36" i="11"/>
  <c r="F38" i="12"/>
  <c r="F91" i="12" s="1"/>
  <c r="H40" i="11"/>
  <c r="F42" i="12"/>
  <c r="H44" i="11"/>
  <c r="F46" i="12"/>
  <c r="H48" i="11"/>
  <c r="F50" i="12"/>
  <c r="H52" i="11"/>
  <c r="F54" i="12"/>
  <c r="H56" i="11"/>
  <c r="H60" i="11"/>
  <c r="H64" i="11"/>
  <c r="H68" i="11"/>
  <c r="H72" i="11"/>
  <c r="H76" i="11"/>
  <c r="H80" i="11"/>
  <c r="H84" i="11"/>
  <c r="H88" i="11"/>
  <c r="H92" i="11"/>
  <c r="H96" i="11"/>
  <c r="H100" i="11"/>
  <c r="H11" i="11"/>
  <c r="H15" i="11"/>
  <c r="H19" i="11"/>
  <c r="H23" i="11"/>
  <c r="H33" i="11"/>
  <c r="F35" i="12"/>
  <c r="H37" i="11"/>
  <c r="F39" i="12"/>
  <c r="F97" i="12" s="1"/>
  <c r="H41" i="11"/>
  <c r="F43" i="12"/>
  <c r="H45" i="11"/>
  <c r="F47" i="12"/>
  <c r="H49" i="11"/>
  <c r="F51" i="12"/>
  <c r="H53" i="11"/>
  <c r="F55" i="12"/>
  <c r="H57" i="11"/>
  <c r="H61" i="11"/>
  <c r="H65" i="11"/>
  <c r="H69" i="11"/>
  <c r="H73" i="11"/>
  <c r="H77" i="11"/>
  <c r="H81" i="11"/>
  <c r="H85" i="11"/>
  <c r="H89" i="11"/>
  <c r="H93" i="11"/>
  <c r="H97" i="11"/>
  <c r="H12" i="11"/>
  <c r="H16" i="11"/>
  <c r="H20" i="11"/>
  <c r="H24" i="11"/>
  <c r="H30" i="11"/>
  <c r="F32" i="12"/>
  <c r="H34" i="11"/>
  <c r="F36" i="12"/>
  <c r="F79" i="12" s="1"/>
  <c r="H38" i="11"/>
  <c r="F40" i="12"/>
  <c r="H42" i="11"/>
  <c r="F44" i="12"/>
  <c r="H46" i="11"/>
  <c r="F48" i="12"/>
  <c r="H50" i="11"/>
  <c r="F52" i="12"/>
  <c r="H54" i="11"/>
  <c r="H58" i="11"/>
  <c r="H62" i="11"/>
  <c r="H66" i="11"/>
  <c r="H70" i="11"/>
  <c r="H74" i="11"/>
  <c r="H78" i="11"/>
  <c r="H82" i="11"/>
  <c r="H86" i="11"/>
  <c r="H90" i="11"/>
  <c r="H94" i="11"/>
  <c r="H98" i="11"/>
  <c r="H13" i="11"/>
  <c r="H17" i="11"/>
  <c r="H21" i="11"/>
  <c r="H31" i="11"/>
  <c r="F33" i="12"/>
  <c r="H35" i="11"/>
  <c r="F37" i="12"/>
  <c r="F85" i="12" s="1"/>
  <c r="H39" i="11"/>
  <c r="F41" i="12"/>
  <c r="H43" i="11"/>
  <c r="F45" i="12"/>
  <c r="H47" i="11"/>
  <c r="F49" i="12"/>
  <c r="H55" i="11"/>
  <c r="H59" i="11"/>
  <c r="H63" i="11"/>
  <c r="H67" i="11"/>
  <c r="H71" i="11"/>
  <c r="H75" i="11"/>
  <c r="H79" i="11"/>
  <c r="H83" i="11"/>
  <c r="H87" i="11"/>
  <c r="H91" i="11"/>
  <c r="H95" i="11"/>
  <c r="C47" i="2"/>
  <c r="C49" i="2"/>
  <c r="C44" i="2"/>
  <c r="C45" i="2"/>
  <c r="C37" i="2"/>
  <c r="C40" i="2"/>
  <c r="C41" i="2"/>
  <c r="C39" i="2"/>
  <c r="C46" i="2"/>
  <c r="C36" i="2"/>
  <c r="C42" i="2"/>
  <c r="C38" i="2"/>
  <c r="C43" i="2"/>
  <c r="C48" i="2"/>
  <c r="G32" i="12"/>
  <c r="I101" i="11"/>
  <c r="H101" i="11"/>
  <c r="E73" i="1"/>
  <c r="D61" i="22" s="1"/>
  <c r="E66" i="1"/>
  <c r="F66" i="1" s="1"/>
  <c r="F32" i="1"/>
  <c r="F33" i="1"/>
  <c r="F14" i="1"/>
  <c r="F74" i="1"/>
  <c r="G74" i="1" s="1"/>
  <c r="H74" i="1" s="1"/>
  <c r="I74" i="1" s="1"/>
  <c r="J74" i="1" s="1"/>
  <c r="K74" i="1" s="1"/>
  <c r="L74" i="1" s="1"/>
  <c r="M74" i="1" s="1"/>
  <c r="N74" i="1" s="1"/>
  <c r="O74" i="1" s="1"/>
  <c r="P74" i="1" s="1"/>
  <c r="Q74" i="1" s="1"/>
  <c r="R74" i="1" s="1"/>
  <c r="S74" i="1" s="1"/>
  <c r="T74" i="1" s="1"/>
  <c r="U74" i="1" s="1"/>
  <c r="V74" i="1" s="1"/>
  <c r="W74" i="1" s="1"/>
  <c r="X74" i="1" s="1"/>
  <c r="Y74" i="1" s="1"/>
  <c r="Z74" i="1" s="1"/>
  <c r="AA74" i="1" s="1"/>
  <c r="AB74" i="1" s="1"/>
  <c r="AC74" i="1" s="1"/>
  <c r="AD74" i="1" s="1"/>
  <c r="AE74" i="1" s="1"/>
  <c r="AF74" i="1" s="1"/>
  <c r="AG74" i="1" s="1"/>
  <c r="AH74" i="1" s="1"/>
  <c r="AI74" i="1" s="1"/>
  <c r="AJ74" i="1" s="1"/>
  <c r="B5" i="7"/>
  <c r="B9" i="8" s="1"/>
  <c r="A1" i="5"/>
  <c r="D52" i="1"/>
  <c r="E162" i="1" s="1"/>
  <c r="F67" i="1"/>
  <c r="H41" i="12" s="1"/>
  <c r="I41" i="12" s="1"/>
  <c r="F69" i="1"/>
  <c r="H43" i="12" s="1"/>
  <c r="I43" i="12" s="1"/>
  <c r="F75" i="1"/>
  <c r="H49" i="12" s="1"/>
  <c r="I49" i="12" s="1"/>
  <c r="F76" i="1"/>
  <c r="G76" i="1" s="1"/>
  <c r="H76" i="1" s="1"/>
  <c r="I76" i="1" s="1"/>
  <c r="J76" i="1" s="1"/>
  <c r="K76" i="1" s="1"/>
  <c r="L76" i="1" s="1"/>
  <c r="M76" i="1" s="1"/>
  <c r="N76" i="1" s="1"/>
  <c r="O76" i="1" s="1"/>
  <c r="P76" i="1" s="1"/>
  <c r="Q76" i="1" s="1"/>
  <c r="R76" i="1" s="1"/>
  <c r="S76" i="1" s="1"/>
  <c r="T76" i="1" s="1"/>
  <c r="U76" i="1" s="1"/>
  <c r="V76" i="1" s="1"/>
  <c r="W76" i="1" s="1"/>
  <c r="X76" i="1" s="1"/>
  <c r="Y76" i="1" s="1"/>
  <c r="Z76" i="1" s="1"/>
  <c r="AA76" i="1" s="1"/>
  <c r="AB76" i="1" s="1"/>
  <c r="AC76" i="1" s="1"/>
  <c r="AD76" i="1" s="1"/>
  <c r="AE76" i="1" s="1"/>
  <c r="AF76" i="1" s="1"/>
  <c r="AG76" i="1" s="1"/>
  <c r="AH76" i="1" s="1"/>
  <c r="AI76" i="1" s="1"/>
  <c r="AJ76" i="1" s="1"/>
  <c r="F80" i="1"/>
  <c r="G80" i="1" s="1"/>
  <c r="H80" i="1" s="1"/>
  <c r="I80" i="1" s="1"/>
  <c r="J80" i="1" s="1"/>
  <c r="K80" i="1" s="1"/>
  <c r="L80" i="1" s="1"/>
  <c r="M80" i="1" s="1"/>
  <c r="N80" i="1" s="1"/>
  <c r="O80" i="1" s="1"/>
  <c r="P80" i="1" s="1"/>
  <c r="Q80" i="1" s="1"/>
  <c r="R80" i="1" s="1"/>
  <c r="S80" i="1" s="1"/>
  <c r="T80" i="1" s="1"/>
  <c r="U80" i="1" s="1"/>
  <c r="V80" i="1" s="1"/>
  <c r="W80" i="1" s="1"/>
  <c r="X80" i="1" s="1"/>
  <c r="Y80" i="1" s="1"/>
  <c r="Z80" i="1" s="1"/>
  <c r="AA80" i="1" s="1"/>
  <c r="AB80" i="1" s="1"/>
  <c r="AC80" i="1" s="1"/>
  <c r="AD80" i="1" s="1"/>
  <c r="AE80" i="1" s="1"/>
  <c r="AF80" i="1" s="1"/>
  <c r="AG80" i="1" s="1"/>
  <c r="AH80" i="1" s="1"/>
  <c r="AI80" i="1" s="1"/>
  <c r="AJ80" i="1" s="1"/>
  <c r="K23" i="1"/>
  <c r="E37" i="8" s="1"/>
  <c r="D11" i="1"/>
  <c r="E33" i="8" s="1"/>
  <c r="F12" i="7"/>
  <c r="E13" i="7"/>
  <c r="J12" i="7"/>
  <c r="I12" i="7"/>
  <c r="H12" i="7"/>
  <c r="G12" i="7"/>
  <c r="E12" i="7"/>
  <c r="A2" i="7"/>
  <c r="D33" i="8"/>
  <c r="G9" i="8"/>
  <c r="B6" i="8"/>
  <c r="Q2" i="17"/>
  <c r="G96" i="1"/>
  <c r="G323" i="1" s="1"/>
  <c r="F336" i="1"/>
  <c r="F238" i="1"/>
  <c r="F287" i="1"/>
  <c r="G238" i="1"/>
  <c r="G287" i="1"/>
  <c r="G336" i="1"/>
  <c r="H287" i="1"/>
  <c r="H336" i="1"/>
  <c r="H238" i="1"/>
  <c r="I336" i="1"/>
  <c r="I287" i="1"/>
  <c r="J336" i="1"/>
  <c r="J287" i="1"/>
  <c r="K195" i="1"/>
  <c r="K336" i="1"/>
  <c r="L195" i="1"/>
  <c r="L336" i="1"/>
  <c r="M195" i="1"/>
  <c r="M336" i="1"/>
  <c r="N195" i="1"/>
  <c r="N336" i="1"/>
  <c r="O195" i="1"/>
  <c r="O336" i="1"/>
  <c r="Q80" i="19" l="1"/>
  <c r="Q79" i="19"/>
  <c r="Q84" i="19"/>
  <c r="Q83" i="19"/>
  <c r="E39" i="1"/>
  <c r="F39" i="1" s="1"/>
  <c r="G39" i="1" s="1"/>
  <c r="H39" i="1" s="1"/>
  <c r="I39" i="1" s="1"/>
  <c r="J39" i="1" s="1"/>
  <c r="K39" i="1" s="1"/>
  <c r="L39" i="1" s="1"/>
  <c r="M39" i="1" s="1"/>
  <c r="N39" i="1" s="1"/>
  <c r="O39" i="1" s="1"/>
  <c r="P39" i="1" s="1"/>
  <c r="Q39" i="1" s="1"/>
  <c r="R39" i="1" s="1"/>
  <c r="S39" i="1" s="1"/>
  <c r="T39" i="1" s="1"/>
  <c r="U39" i="1" s="1"/>
  <c r="V39" i="1" s="1"/>
  <c r="W39" i="1" s="1"/>
  <c r="X39" i="1" s="1"/>
  <c r="Y39" i="1" s="1"/>
  <c r="Z39" i="1" s="1"/>
  <c r="AA39" i="1" s="1"/>
  <c r="AB39" i="1" s="1"/>
  <c r="AC39" i="1" s="1"/>
  <c r="AD39" i="1" s="1"/>
  <c r="AE39" i="1" s="1"/>
  <c r="AF39" i="1" s="1"/>
  <c r="AG39" i="1" s="1"/>
  <c r="AH39" i="1" s="1"/>
  <c r="AI39" i="1" s="1"/>
  <c r="AJ39" i="1" s="1"/>
  <c r="H48" i="12"/>
  <c r="I48" i="12" s="1"/>
  <c r="U19" i="19"/>
  <c r="U24" i="19" s="1"/>
  <c r="H90" i="12"/>
  <c r="I18" i="12"/>
  <c r="B73" i="1"/>
  <c r="E9" i="22"/>
  <c r="F9" i="22" s="1"/>
  <c r="H50" i="12"/>
  <c r="I50" i="12" s="1"/>
  <c r="G37" i="1"/>
  <c r="G41" i="1" s="1"/>
  <c r="R19" i="19"/>
  <c r="R21" i="19" s="1"/>
  <c r="R29" i="19" s="1"/>
  <c r="AI142" i="1"/>
  <c r="AJ142" i="1"/>
  <c r="AH142" i="1"/>
  <c r="AH144" i="1" s="1"/>
  <c r="K51" i="2"/>
  <c r="C50" i="2"/>
  <c r="C54" i="2" s="1"/>
  <c r="C55" i="2" s="1"/>
  <c r="H51" i="2"/>
  <c r="D23" i="22"/>
  <c r="E23" i="22" s="1"/>
  <c r="H37" i="1"/>
  <c r="H41" i="1" s="1"/>
  <c r="G69" i="1"/>
  <c r="H69" i="1" s="1"/>
  <c r="I69" i="1" s="1"/>
  <c r="J69" i="1" s="1"/>
  <c r="K69" i="1" s="1"/>
  <c r="L69" i="1" s="1"/>
  <c r="M69" i="1" s="1"/>
  <c r="N69" i="1" s="1"/>
  <c r="O69" i="1" s="1"/>
  <c r="P69" i="1" s="1"/>
  <c r="Q69" i="1" s="1"/>
  <c r="R69" i="1" s="1"/>
  <c r="S69" i="1" s="1"/>
  <c r="T69" i="1" s="1"/>
  <c r="U69" i="1" s="1"/>
  <c r="V69" i="1" s="1"/>
  <c r="W69" i="1" s="1"/>
  <c r="X69" i="1" s="1"/>
  <c r="Y69" i="1" s="1"/>
  <c r="Z69" i="1" s="1"/>
  <c r="AA69" i="1" s="1"/>
  <c r="AB69" i="1" s="1"/>
  <c r="AC69" i="1" s="1"/>
  <c r="AD69" i="1" s="1"/>
  <c r="AE69" i="1" s="1"/>
  <c r="AF69" i="1" s="1"/>
  <c r="AG69" i="1" s="1"/>
  <c r="AH69" i="1" s="1"/>
  <c r="AI69" i="1" s="1"/>
  <c r="AJ69" i="1" s="1"/>
  <c r="F73" i="1"/>
  <c r="H19" i="12"/>
  <c r="H102" i="12" s="1"/>
  <c r="S41" i="19"/>
  <c r="S42" i="19" s="1"/>
  <c r="G50" i="1"/>
  <c r="H50" i="1" s="1"/>
  <c r="I50" i="1" s="1"/>
  <c r="J50" i="1" s="1"/>
  <c r="K50" i="1" s="1"/>
  <c r="L50" i="1" s="1"/>
  <c r="M50" i="1" s="1"/>
  <c r="N50" i="1" s="1"/>
  <c r="O50" i="1" s="1"/>
  <c r="P50" i="1" s="1"/>
  <c r="Q50" i="1" s="1"/>
  <c r="R50" i="1" s="1"/>
  <c r="S50" i="1" s="1"/>
  <c r="T50" i="1" s="1"/>
  <c r="U50" i="1" s="1"/>
  <c r="V50" i="1" s="1"/>
  <c r="W50" i="1" s="1"/>
  <c r="X50" i="1" s="1"/>
  <c r="Y50" i="1" s="1"/>
  <c r="Z50" i="1" s="1"/>
  <c r="AA50" i="1" s="1"/>
  <c r="AB50" i="1" s="1"/>
  <c r="AC50" i="1" s="1"/>
  <c r="AD50" i="1" s="1"/>
  <c r="AE50" i="1" s="1"/>
  <c r="AF50" i="1" s="1"/>
  <c r="AG50" i="1" s="1"/>
  <c r="AH50" i="1" s="1"/>
  <c r="AI50" i="1" s="1"/>
  <c r="AJ50" i="1" s="1"/>
  <c r="F38" i="1"/>
  <c r="F42" i="1" s="1"/>
  <c r="H54" i="12"/>
  <c r="I54" i="12" s="1"/>
  <c r="B11" i="7"/>
  <c r="B10" i="7" s="1"/>
  <c r="B12" i="7" s="1"/>
  <c r="C10" i="7" s="1"/>
  <c r="F93" i="1"/>
  <c r="F113" i="1" s="1"/>
  <c r="H15" i="12"/>
  <c r="B46" i="1"/>
  <c r="D35" i="22"/>
  <c r="E35" i="22" s="1"/>
  <c r="D37" i="22"/>
  <c r="E37" i="22" s="1"/>
  <c r="D19" i="22"/>
  <c r="D25" i="22" s="1"/>
  <c r="E25" i="22" s="1"/>
  <c r="C10" i="22"/>
  <c r="D56" i="22" s="1"/>
  <c r="D54" i="22"/>
  <c r="C24" i="22"/>
  <c r="C47" i="22"/>
  <c r="Q45" i="1"/>
  <c r="G38" i="1"/>
  <c r="G42" i="1" s="1"/>
  <c r="G14" i="1"/>
  <c r="G75" i="1"/>
  <c r="H75" i="1" s="1"/>
  <c r="I75" i="1" s="1"/>
  <c r="J75" i="1" s="1"/>
  <c r="K75" i="1" s="1"/>
  <c r="L75" i="1" s="1"/>
  <c r="M75" i="1" s="1"/>
  <c r="N75" i="1" s="1"/>
  <c r="O75" i="1" s="1"/>
  <c r="P75" i="1" s="1"/>
  <c r="Q75" i="1" s="1"/>
  <c r="R75" i="1" s="1"/>
  <c r="S75" i="1" s="1"/>
  <c r="T75" i="1" s="1"/>
  <c r="U75" i="1" s="1"/>
  <c r="V75" i="1" s="1"/>
  <c r="W75" i="1" s="1"/>
  <c r="X75" i="1" s="1"/>
  <c r="Y75" i="1" s="1"/>
  <c r="Z75" i="1" s="1"/>
  <c r="AA75" i="1" s="1"/>
  <c r="AB75" i="1" s="1"/>
  <c r="AC75" i="1" s="1"/>
  <c r="AD75" i="1" s="1"/>
  <c r="AE75" i="1" s="1"/>
  <c r="AF75" i="1" s="1"/>
  <c r="AG75" i="1" s="1"/>
  <c r="AH75" i="1" s="1"/>
  <c r="AI75" i="1" s="1"/>
  <c r="AJ75" i="1" s="1"/>
  <c r="G67" i="1"/>
  <c r="H67" i="1" s="1"/>
  <c r="I67" i="1" s="1"/>
  <c r="J67" i="1" s="1"/>
  <c r="K67" i="1" s="1"/>
  <c r="L67" i="1" s="1"/>
  <c r="M67" i="1" s="1"/>
  <c r="N67" i="1" s="1"/>
  <c r="O67" i="1" s="1"/>
  <c r="P67" i="1" s="1"/>
  <c r="Q67" i="1" s="1"/>
  <c r="R67" i="1" s="1"/>
  <c r="S67" i="1" s="1"/>
  <c r="T67" i="1" s="1"/>
  <c r="U67" i="1" s="1"/>
  <c r="V67" i="1" s="1"/>
  <c r="W67" i="1" s="1"/>
  <c r="X67" i="1" s="1"/>
  <c r="Y67" i="1" s="1"/>
  <c r="Z67" i="1" s="1"/>
  <c r="AA67" i="1" s="1"/>
  <c r="AB67" i="1" s="1"/>
  <c r="AC67" i="1" s="1"/>
  <c r="AD67" i="1" s="1"/>
  <c r="AE67" i="1" s="1"/>
  <c r="AF67" i="1" s="1"/>
  <c r="AG67" i="1" s="1"/>
  <c r="AH67" i="1" s="1"/>
  <c r="AI67" i="1" s="1"/>
  <c r="AJ67" i="1" s="1"/>
  <c r="G77" i="1"/>
  <c r="H77" i="1" s="1"/>
  <c r="I77" i="1" s="1"/>
  <c r="J77" i="1" s="1"/>
  <c r="K77" i="1" s="1"/>
  <c r="L77" i="1" s="1"/>
  <c r="M77" i="1" s="1"/>
  <c r="N77" i="1" s="1"/>
  <c r="O77" i="1" s="1"/>
  <c r="P77" i="1" s="1"/>
  <c r="Q77" i="1" s="1"/>
  <c r="R77" i="1" s="1"/>
  <c r="S77" i="1" s="1"/>
  <c r="T77" i="1" s="1"/>
  <c r="U77" i="1" s="1"/>
  <c r="V77" i="1" s="1"/>
  <c r="W77" i="1" s="1"/>
  <c r="X77" i="1" s="1"/>
  <c r="Y77" i="1" s="1"/>
  <c r="Z77" i="1" s="1"/>
  <c r="AA77" i="1" s="1"/>
  <c r="AB77" i="1" s="1"/>
  <c r="AC77" i="1" s="1"/>
  <c r="AD77" i="1" s="1"/>
  <c r="AE77" i="1" s="1"/>
  <c r="AF77" i="1" s="1"/>
  <c r="AG77" i="1" s="1"/>
  <c r="AH77" i="1" s="1"/>
  <c r="AI77" i="1" s="1"/>
  <c r="AJ77" i="1" s="1"/>
  <c r="F37" i="1"/>
  <c r="F224" i="1"/>
  <c r="D10" i="22"/>
  <c r="D18" i="22"/>
  <c r="D24" i="22" s="1"/>
  <c r="E24" i="22" s="1"/>
  <c r="C25" i="22"/>
  <c r="C40" i="22"/>
  <c r="C54" i="22"/>
  <c r="C58" i="22"/>
  <c r="C46" i="22"/>
  <c r="C56" i="22"/>
  <c r="C60" i="22"/>
  <c r="C66" i="22"/>
  <c r="C64" i="22"/>
  <c r="C48" i="22"/>
  <c r="C50" i="22"/>
  <c r="C52" i="22"/>
  <c r="E29" i="11"/>
  <c r="D31" i="12" s="1"/>
  <c r="D5" i="12" s="1"/>
  <c r="E9" i="11"/>
  <c r="C4" i="11"/>
  <c r="L11" i="12"/>
  <c r="L21" i="12"/>
  <c r="L62" i="12"/>
  <c r="L27" i="12"/>
  <c r="F102" i="12"/>
  <c r="C53" i="22"/>
  <c r="C55" i="22"/>
  <c r="C69" i="22"/>
  <c r="C23" i="22"/>
  <c r="C59" i="22"/>
  <c r="C61" i="22"/>
  <c r="C63" i="22"/>
  <c r="C65" i="22"/>
  <c r="C67" i="22"/>
  <c r="C27" i="22"/>
  <c r="F99" i="12"/>
  <c r="E91" i="12"/>
  <c r="B72" i="12"/>
  <c r="B74" i="12" s="1"/>
  <c r="B84" i="12"/>
  <c r="B86" i="12" s="1"/>
  <c r="B96" i="12"/>
  <c r="B99" i="12" s="1"/>
  <c r="B78" i="12"/>
  <c r="B80" i="12" s="1"/>
  <c r="D86" i="12"/>
  <c r="G103" i="12"/>
  <c r="C75" i="12"/>
  <c r="D40" i="22"/>
  <c r="B102" i="12"/>
  <c r="G97" i="12"/>
  <c r="G99" i="12" s="1"/>
  <c r="E75" i="12"/>
  <c r="E67" i="12"/>
  <c r="B98" i="12"/>
  <c r="B11" i="12"/>
  <c r="B103" i="12"/>
  <c r="F103" i="12"/>
  <c r="F105" i="12" s="1"/>
  <c r="C66" i="12"/>
  <c r="C68" i="12" s="1"/>
  <c r="G56" i="12"/>
  <c r="C78" i="12"/>
  <c r="C81" i="12" s="1"/>
  <c r="C51" i="22"/>
  <c r="D60" i="12"/>
  <c r="F56" i="12"/>
  <c r="K55" i="12" s="1"/>
  <c r="D79" i="12"/>
  <c r="D81" i="12" s="1"/>
  <c r="E63" i="1"/>
  <c r="D51" i="22" s="1"/>
  <c r="D103" i="12"/>
  <c r="C11" i="12"/>
  <c r="F90" i="12"/>
  <c r="F92" i="12" s="1"/>
  <c r="E56" i="12"/>
  <c r="K54" i="12" s="1"/>
  <c r="D67" i="12"/>
  <c r="C67" i="12"/>
  <c r="D97" i="12"/>
  <c r="D99" i="12" s="1"/>
  <c r="E86" i="12"/>
  <c r="D91" i="12"/>
  <c r="C57" i="22"/>
  <c r="G87" i="12"/>
  <c r="B56" i="12"/>
  <c r="F67" i="12"/>
  <c r="F11" i="12"/>
  <c r="E11" i="12"/>
  <c r="F73" i="12"/>
  <c r="F75" i="12" s="1"/>
  <c r="B67" i="12"/>
  <c r="G86" i="12"/>
  <c r="B90" i="12"/>
  <c r="C62" i="22"/>
  <c r="G74" i="12"/>
  <c r="G75" i="12"/>
  <c r="E65" i="1"/>
  <c r="D53" i="22" s="1"/>
  <c r="D56" i="12"/>
  <c r="G67" i="12"/>
  <c r="C91" i="12"/>
  <c r="C92" i="12" s="1"/>
  <c r="C21" i="12"/>
  <c r="F21" i="12"/>
  <c r="E61" i="1"/>
  <c r="D49" i="22" s="1"/>
  <c r="C56" i="12"/>
  <c r="C103" i="12"/>
  <c r="C49" i="22"/>
  <c r="C68" i="22"/>
  <c r="G66" i="12"/>
  <c r="G69" i="12" s="1"/>
  <c r="E65" i="12"/>
  <c r="D73" i="12"/>
  <c r="D75" i="12" s="1"/>
  <c r="Q58" i="19"/>
  <c r="F87" i="12"/>
  <c r="G11" i="12"/>
  <c r="D102" i="12"/>
  <c r="D105" i="12" s="1"/>
  <c r="D87" i="12"/>
  <c r="F98" i="12"/>
  <c r="G21" i="12"/>
  <c r="B75" i="12"/>
  <c r="E87" i="12"/>
  <c r="G93" i="12"/>
  <c r="B21" i="12"/>
  <c r="G102" i="12"/>
  <c r="G105" i="12" s="1"/>
  <c r="S19" i="19"/>
  <c r="S31" i="19" s="1"/>
  <c r="Q69" i="19"/>
  <c r="Q56" i="19"/>
  <c r="Q22" i="19" s="1"/>
  <c r="U41" i="19"/>
  <c r="U42" i="19" s="1"/>
  <c r="U43" i="19" s="1"/>
  <c r="Q70" i="19"/>
  <c r="Q78" i="19"/>
  <c r="Q81" i="19"/>
  <c r="R56" i="19"/>
  <c r="R22" i="19" s="1"/>
  <c r="R70" i="19"/>
  <c r="E7" i="22"/>
  <c r="F7" i="22" s="1"/>
  <c r="T1" i="22"/>
  <c r="E33" i="22"/>
  <c r="E39" i="22" s="1"/>
  <c r="G66" i="1"/>
  <c r="H66" i="1" s="1"/>
  <c r="I66" i="1" s="1"/>
  <c r="J66" i="1" s="1"/>
  <c r="K66" i="1" s="1"/>
  <c r="L66" i="1" s="1"/>
  <c r="M66" i="1" s="1"/>
  <c r="N66" i="1" s="1"/>
  <c r="O66" i="1" s="1"/>
  <c r="P66" i="1" s="1"/>
  <c r="Q66" i="1" s="1"/>
  <c r="R66" i="1" s="1"/>
  <c r="S66" i="1" s="1"/>
  <c r="T66" i="1" s="1"/>
  <c r="U66" i="1" s="1"/>
  <c r="V66" i="1" s="1"/>
  <c r="W66" i="1" s="1"/>
  <c r="X66" i="1" s="1"/>
  <c r="Y66" i="1" s="1"/>
  <c r="Z66" i="1" s="1"/>
  <c r="AA66" i="1" s="1"/>
  <c r="AB66" i="1" s="1"/>
  <c r="AC66" i="1" s="1"/>
  <c r="AD66" i="1" s="1"/>
  <c r="AE66" i="1" s="1"/>
  <c r="AF66" i="1" s="1"/>
  <c r="AG66" i="1" s="1"/>
  <c r="AH66" i="1" s="1"/>
  <c r="AI66" i="1" s="1"/>
  <c r="AJ66" i="1" s="1"/>
  <c r="H40" i="12"/>
  <c r="I40" i="12" s="1"/>
  <c r="U1" i="1"/>
  <c r="B4" i="17"/>
  <c r="F2" i="17" s="1"/>
  <c r="J16" i="19"/>
  <c r="J15" i="19"/>
  <c r="B12" i="20"/>
  <c r="B13" i="20" s="1"/>
  <c r="G11" i="20"/>
  <c r="G12" i="20" s="1"/>
  <c r="G15" i="20" s="1"/>
  <c r="AJ144" i="1"/>
  <c r="AI144" i="1"/>
  <c r="F273" i="1"/>
  <c r="T55" i="19"/>
  <c r="N45" i="1"/>
  <c r="R45" i="1"/>
  <c r="O45" i="1"/>
  <c r="P45" i="1"/>
  <c r="M45" i="1"/>
  <c r="D79" i="2"/>
  <c r="F272" i="1"/>
  <c r="U80" i="19"/>
  <c r="T70" i="19"/>
  <c r="C30" i="2"/>
  <c r="D7" i="1" s="1"/>
  <c r="E7" i="1" s="1"/>
  <c r="AJ46" i="1"/>
  <c r="T79" i="19"/>
  <c r="R55" i="19"/>
  <c r="R69" i="19"/>
  <c r="F9" i="7"/>
  <c r="E70" i="1"/>
  <c r="U82" i="19"/>
  <c r="R57" i="19"/>
  <c r="R60" i="19" s="1"/>
  <c r="R77" i="19" s="1"/>
  <c r="R85" i="19"/>
  <c r="Q19" i="19"/>
  <c r="G224" i="1"/>
  <c r="R59" i="19"/>
  <c r="R80" i="19"/>
  <c r="R78" i="19"/>
  <c r="U90" i="19"/>
  <c r="U104" i="19"/>
  <c r="U105" i="19" s="1"/>
  <c r="U98" i="19"/>
  <c r="I39" i="2"/>
  <c r="U57" i="19"/>
  <c r="U60" i="19" s="1"/>
  <c r="U77" i="19" s="1"/>
  <c r="T80" i="19"/>
  <c r="I45" i="2"/>
  <c r="D44" i="2"/>
  <c r="K39" i="2"/>
  <c r="J39" i="2"/>
  <c r="J53" i="2" s="1"/>
  <c r="G53" i="2"/>
  <c r="T97" i="19"/>
  <c r="T100" i="19"/>
  <c r="T90" i="19"/>
  <c r="S75" i="19"/>
  <c r="S83" i="19"/>
  <c r="S78" i="19"/>
  <c r="S79" i="19"/>
  <c r="T98" i="19"/>
  <c r="S76" i="19"/>
  <c r="H39" i="2"/>
  <c r="R99" i="19"/>
  <c r="R104" i="19"/>
  <c r="R106" i="19" s="1"/>
  <c r="R95" i="19"/>
  <c r="R96" i="19"/>
  <c r="Q97" i="19"/>
  <c r="Q94" i="19"/>
  <c r="Q93" i="19"/>
  <c r="R100" i="19"/>
  <c r="U69" i="19"/>
  <c r="U76" i="19"/>
  <c r="U97" i="19"/>
  <c r="R76" i="19"/>
  <c r="H20" i="12"/>
  <c r="I20" i="12" s="1"/>
  <c r="B51" i="1"/>
  <c r="G51" i="1"/>
  <c r="H51" i="1" s="1"/>
  <c r="I51" i="1" s="1"/>
  <c r="J51" i="1" s="1"/>
  <c r="K51" i="1" s="1"/>
  <c r="L51" i="1" s="1"/>
  <c r="M51" i="1" s="1"/>
  <c r="N51" i="1" s="1"/>
  <c r="O51" i="1" s="1"/>
  <c r="P51" i="1" s="1"/>
  <c r="Q51" i="1" s="1"/>
  <c r="R51" i="1" s="1"/>
  <c r="S51" i="1" s="1"/>
  <c r="T51" i="1" s="1"/>
  <c r="U51" i="1" s="1"/>
  <c r="V51" i="1" s="1"/>
  <c r="W51" i="1" s="1"/>
  <c r="X51" i="1" s="1"/>
  <c r="Y51" i="1" s="1"/>
  <c r="Z51" i="1" s="1"/>
  <c r="AA51" i="1" s="1"/>
  <c r="AB51" i="1" s="1"/>
  <c r="AC51" i="1" s="1"/>
  <c r="AD51" i="1" s="1"/>
  <c r="AE51" i="1" s="1"/>
  <c r="AF51" i="1" s="1"/>
  <c r="AG51" i="1" s="1"/>
  <c r="AH51" i="1" s="1"/>
  <c r="AI51" i="1" s="1"/>
  <c r="AJ51" i="1" s="1"/>
  <c r="G47" i="1"/>
  <c r="H16" i="12"/>
  <c r="I16" i="12" s="1"/>
  <c r="B47" i="1"/>
  <c r="B75" i="1"/>
  <c r="B76" i="1"/>
  <c r="D67" i="22"/>
  <c r="D60" i="22"/>
  <c r="B77" i="1"/>
  <c r="B80" i="1"/>
  <c r="B67" i="1"/>
  <c r="B74" i="1"/>
  <c r="B69" i="1"/>
  <c r="B17" i="7"/>
  <c r="B18" i="7" s="1"/>
  <c r="C9" i="8"/>
  <c r="D9" i="8" s="1"/>
  <c r="B66" i="1"/>
  <c r="F17" i="1"/>
  <c r="G17" i="1" s="1"/>
  <c r="F9" i="8" s="1"/>
  <c r="G225" i="1"/>
  <c r="G274" i="1"/>
  <c r="I2" i="17"/>
  <c r="B11" i="17"/>
  <c r="B14" i="17" s="1"/>
  <c r="F52" i="1"/>
  <c r="H38" i="1"/>
  <c r="H42" i="1" s="1"/>
  <c r="H92" i="1"/>
  <c r="G108" i="1"/>
  <c r="F334" i="1"/>
  <c r="F236" i="1"/>
  <c r="F285" i="1"/>
  <c r="G273" i="1"/>
  <c r="D42" i="2"/>
  <c r="D46" i="2"/>
  <c r="D43" i="2"/>
  <c r="D49" i="2"/>
  <c r="D36" i="2"/>
  <c r="D48" i="2"/>
  <c r="D39" i="2"/>
  <c r="D47" i="2"/>
  <c r="D40" i="2"/>
  <c r="D45" i="2"/>
  <c r="D38" i="2"/>
  <c r="D37" i="2"/>
  <c r="F274" i="1"/>
  <c r="E9" i="7"/>
  <c r="F323" i="1"/>
  <c r="D83" i="2"/>
  <c r="F223" i="1"/>
  <c r="F98" i="1"/>
  <c r="S59" i="19"/>
  <c r="S57" i="19"/>
  <c r="S60" i="19" s="1"/>
  <c r="S77" i="19" s="1"/>
  <c r="S70" i="19"/>
  <c r="S55" i="19"/>
  <c r="S56" i="19"/>
  <c r="S22" i="19" s="1"/>
  <c r="S69" i="19"/>
  <c r="S99" i="19"/>
  <c r="S98" i="19"/>
  <c r="S104" i="19"/>
  <c r="S92" i="19"/>
  <c r="S97" i="19"/>
  <c r="S93" i="19"/>
  <c r="S100" i="19"/>
  <c r="S95" i="19"/>
  <c r="S91" i="19"/>
  <c r="S94" i="19"/>
  <c r="E64" i="1"/>
  <c r="E78" i="1"/>
  <c r="E62" i="1"/>
  <c r="B48" i="1"/>
  <c r="H17" i="12"/>
  <c r="H24" i="12"/>
  <c r="I24" i="12" s="1"/>
  <c r="B53" i="1"/>
  <c r="S58" i="19"/>
  <c r="U32" i="19"/>
  <c r="U34" i="19"/>
  <c r="U28" i="19"/>
  <c r="U31" i="19"/>
  <c r="U21" i="19"/>
  <c r="U29" i="19" s="1"/>
  <c r="T96" i="19"/>
  <c r="T99" i="19"/>
  <c r="T104" i="19"/>
  <c r="T95" i="19"/>
  <c r="T92" i="19"/>
  <c r="T91" i="19"/>
  <c r="T94" i="19"/>
  <c r="T93" i="19"/>
  <c r="S45" i="19"/>
  <c r="S46" i="19" s="1"/>
  <c r="S43" i="19"/>
  <c r="S96" i="19"/>
  <c r="F36" i="1"/>
  <c r="H7" i="12" s="1"/>
  <c r="I7" i="12" s="1"/>
  <c r="U79" i="19"/>
  <c r="U84" i="19"/>
  <c r="U83" i="19"/>
  <c r="U78" i="19"/>
  <c r="U75" i="19"/>
  <c r="U92" i="19"/>
  <c r="U95" i="19"/>
  <c r="U96" i="19"/>
  <c r="U94" i="19"/>
  <c r="U91" i="19"/>
  <c r="U100" i="19"/>
  <c r="U59" i="19"/>
  <c r="U58" i="19"/>
  <c r="U56" i="19"/>
  <c r="U22" i="19" s="1"/>
  <c r="U70" i="19"/>
  <c r="S24" i="19"/>
  <c r="T85" i="19"/>
  <c r="T78" i="19"/>
  <c r="T75" i="19"/>
  <c r="T84" i="19"/>
  <c r="T83" i="19"/>
  <c r="T82" i="19"/>
  <c r="R43" i="19"/>
  <c r="R45" i="19"/>
  <c r="R46" i="19" s="1"/>
  <c r="Q96" i="19"/>
  <c r="Q91" i="19"/>
  <c r="U85" i="19"/>
  <c r="U99" i="19"/>
  <c r="U93" i="19"/>
  <c r="T76" i="19"/>
  <c r="T59" i="19"/>
  <c r="T58" i="19"/>
  <c r="T56" i="19"/>
  <c r="T22" i="19" s="1"/>
  <c r="T57" i="19"/>
  <c r="T60" i="19" s="1"/>
  <c r="T77" i="19" s="1"/>
  <c r="S82" i="19"/>
  <c r="S80" i="19"/>
  <c r="S84" i="19"/>
  <c r="S81" i="19"/>
  <c r="S85" i="19"/>
  <c r="R84" i="19"/>
  <c r="R82" i="19"/>
  <c r="R75" i="19"/>
  <c r="R79" i="19"/>
  <c r="R81" i="19"/>
  <c r="R94" i="19"/>
  <c r="R98" i="19"/>
  <c r="R92" i="19"/>
  <c r="R93" i="19"/>
  <c r="R97" i="19"/>
  <c r="R90" i="19"/>
  <c r="Q104" i="19"/>
  <c r="Q100" i="19"/>
  <c r="Q95" i="19"/>
  <c r="Q92" i="19"/>
  <c r="Q99" i="19"/>
  <c r="Q98" i="19"/>
  <c r="T41" i="19"/>
  <c r="T42" i="19" s="1"/>
  <c r="T19" i="19"/>
  <c r="Q41" i="19"/>
  <c r="Q42" i="19" s="1"/>
  <c r="D11" i="12"/>
  <c r="E92" i="12"/>
  <c r="E93" i="12"/>
  <c r="F80" i="12"/>
  <c r="F81" i="12"/>
  <c r="G81" i="12"/>
  <c r="G80" i="12"/>
  <c r="E21" i="12"/>
  <c r="D90" i="12"/>
  <c r="E78" i="12"/>
  <c r="C99" i="12"/>
  <c r="C98" i="12"/>
  <c r="C86" i="12"/>
  <c r="C87" i="12"/>
  <c r="D104" i="12"/>
  <c r="B81" i="12"/>
  <c r="E99" i="12"/>
  <c r="E98" i="12"/>
  <c r="F66" i="12"/>
  <c r="B66" i="12"/>
  <c r="C80" i="12"/>
  <c r="E74" i="12"/>
  <c r="G92" i="12"/>
  <c r="D66" i="12"/>
  <c r="E66" i="12"/>
  <c r="C102" i="12"/>
  <c r="F86" i="12"/>
  <c r="C74" i="12"/>
  <c r="F74" i="12"/>
  <c r="D21" i="12"/>
  <c r="C39" i="22" s="1"/>
  <c r="E102" i="12"/>
  <c r="E64" i="22" l="1"/>
  <c r="H84" i="12"/>
  <c r="I17" i="12"/>
  <c r="R32" i="19"/>
  <c r="R24" i="19"/>
  <c r="H96" i="12"/>
  <c r="I19" i="12"/>
  <c r="H72" i="12"/>
  <c r="I15" i="12"/>
  <c r="R34" i="19"/>
  <c r="R28" i="19"/>
  <c r="R30" i="19" s="1"/>
  <c r="R31" i="19"/>
  <c r="L142" i="1"/>
  <c r="T142" i="1"/>
  <c r="AB142" i="1"/>
  <c r="AB144" i="1" s="1"/>
  <c r="M142" i="1"/>
  <c r="U142" i="1"/>
  <c r="U144" i="1" s="1"/>
  <c r="AC142" i="1"/>
  <c r="AC144" i="1" s="1"/>
  <c r="W142" i="1"/>
  <c r="W144" i="1" s="1"/>
  <c r="P142" i="1"/>
  <c r="P144" i="1" s="1"/>
  <c r="I142" i="1"/>
  <c r="I144" i="1" s="1"/>
  <c r="Y142" i="1"/>
  <c r="G144" i="1"/>
  <c r="R142" i="1"/>
  <c r="K142" i="1"/>
  <c r="K144" i="1" s="1"/>
  <c r="N142" i="1"/>
  <c r="V142" i="1"/>
  <c r="AD142" i="1"/>
  <c r="AD144" i="1" s="1"/>
  <c r="O142" i="1"/>
  <c r="O144" i="1" s="1"/>
  <c r="AE142" i="1"/>
  <c r="AE144" i="1" s="1"/>
  <c r="H142" i="1"/>
  <c r="H144" i="1" s="1"/>
  <c r="AF142" i="1"/>
  <c r="Q142" i="1"/>
  <c r="Q144" i="1" s="1"/>
  <c r="J142" i="1"/>
  <c r="S142" i="1"/>
  <c r="S144" i="1" s="1"/>
  <c r="AG142" i="1"/>
  <c r="AG144" i="1" s="1"/>
  <c r="X142" i="1"/>
  <c r="X144" i="1" s="1"/>
  <c r="Z142" i="1"/>
  <c r="Z144" i="1" s="1"/>
  <c r="AA142" i="1"/>
  <c r="AA144" i="1" s="1"/>
  <c r="I53" i="2"/>
  <c r="G73" i="1"/>
  <c r="H73" i="1" s="1"/>
  <c r="I73" i="1" s="1"/>
  <c r="J73" i="1" s="1"/>
  <c r="K73" i="1" s="1"/>
  <c r="L73" i="1" s="1"/>
  <c r="M73" i="1" s="1"/>
  <c r="N73" i="1" s="1"/>
  <c r="O73" i="1" s="1"/>
  <c r="P73" i="1" s="1"/>
  <c r="Q73" i="1" s="1"/>
  <c r="R73" i="1" s="1"/>
  <c r="S73" i="1" s="1"/>
  <c r="T73" i="1" s="1"/>
  <c r="U73" i="1" s="1"/>
  <c r="V73" i="1" s="1"/>
  <c r="W73" i="1" s="1"/>
  <c r="X73" i="1" s="1"/>
  <c r="Y73" i="1" s="1"/>
  <c r="Z73" i="1" s="1"/>
  <c r="AA73" i="1" s="1"/>
  <c r="AB73" i="1" s="1"/>
  <c r="AC73" i="1" s="1"/>
  <c r="AD73" i="1" s="1"/>
  <c r="AE73" i="1" s="1"/>
  <c r="AF73" i="1" s="1"/>
  <c r="AG73" i="1" s="1"/>
  <c r="AH73" i="1" s="1"/>
  <c r="AI73" i="1" s="1"/>
  <c r="AJ73" i="1" s="1"/>
  <c r="H47" i="12"/>
  <c r="I47" i="12" s="1"/>
  <c r="H9" i="12"/>
  <c r="I9" i="12" s="1"/>
  <c r="S32" i="19"/>
  <c r="B38" i="1"/>
  <c r="S34" i="19"/>
  <c r="E63" i="22"/>
  <c r="F41" i="1"/>
  <c r="D41" i="1" s="1"/>
  <c r="D43" i="1" s="1"/>
  <c r="D54" i="1" s="1"/>
  <c r="B37" i="1"/>
  <c r="H8" i="12"/>
  <c r="I8" i="12" s="1"/>
  <c r="D29" i="22"/>
  <c r="E29" i="22" s="1"/>
  <c r="B42" i="1"/>
  <c r="E60" i="22"/>
  <c r="E67" i="22"/>
  <c r="D39" i="22"/>
  <c r="D98" i="12"/>
  <c r="G104" i="12"/>
  <c r="G68" i="12"/>
  <c r="D29" i="11"/>
  <c r="C31" i="12" s="1"/>
  <c r="D9" i="11"/>
  <c r="D4" i="11"/>
  <c r="C30" i="22"/>
  <c r="C42" i="22" s="1"/>
  <c r="B87" i="12"/>
  <c r="C69" i="12"/>
  <c r="B26" i="12"/>
  <c r="B61" i="12" s="1"/>
  <c r="D80" i="12"/>
  <c r="D93" i="12"/>
  <c r="F93" i="12"/>
  <c r="E12" i="12"/>
  <c r="K19" i="12"/>
  <c r="D92" i="12"/>
  <c r="G26" i="12"/>
  <c r="G61" i="12" s="1"/>
  <c r="K9" i="12"/>
  <c r="C12" i="12"/>
  <c r="B105" i="12"/>
  <c r="F104" i="12"/>
  <c r="C57" i="12"/>
  <c r="G98" i="12"/>
  <c r="D164" i="1"/>
  <c r="E164" i="1" s="1"/>
  <c r="B61" i="1"/>
  <c r="F65" i="1"/>
  <c r="H39" i="12" s="1"/>
  <c r="I39" i="12" s="1"/>
  <c r="F26" i="12"/>
  <c r="F58" i="12" s="1"/>
  <c r="F12" i="12"/>
  <c r="B65" i="1"/>
  <c r="F63" i="1"/>
  <c r="H37" i="12" s="1"/>
  <c r="I37" i="12" s="1"/>
  <c r="B63" i="1"/>
  <c r="F61" i="1"/>
  <c r="J45" i="1" s="1"/>
  <c r="B104" i="12"/>
  <c r="D12" i="12"/>
  <c r="D74" i="12"/>
  <c r="C70" i="22"/>
  <c r="C26" i="12"/>
  <c r="C61" i="12" s="1"/>
  <c r="B92" i="12"/>
  <c r="B93" i="12"/>
  <c r="D110" i="12"/>
  <c r="D65" i="12"/>
  <c r="C22" i="12"/>
  <c r="K20" i="12"/>
  <c r="D57" i="12"/>
  <c r="C93" i="12"/>
  <c r="U45" i="19"/>
  <c r="U46" i="19" s="1"/>
  <c r="K10" i="12"/>
  <c r="E26" i="12"/>
  <c r="E61" i="12" s="1"/>
  <c r="K56" i="12"/>
  <c r="E57" i="12"/>
  <c r="K11" i="12"/>
  <c r="F57" i="12"/>
  <c r="S28" i="19"/>
  <c r="S21" i="19"/>
  <c r="S29" i="19" s="1"/>
  <c r="E68" i="22"/>
  <c r="E61" i="22"/>
  <c r="B64" i="1"/>
  <c r="D52" i="22"/>
  <c r="E55" i="22"/>
  <c r="E62" i="22"/>
  <c r="F62" i="1"/>
  <c r="R57" i="1" s="1"/>
  <c r="D50" i="22"/>
  <c r="F70" i="1"/>
  <c r="G70" i="1" s="1"/>
  <c r="H70" i="1" s="1"/>
  <c r="I70" i="1" s="1"/>
  <c r="J70" i="1" s="1"/>
  <c r="K70" i="1" s="1"/>
  <c r="L70" i="1" s="1"/>
  <c r="M70" i="1" s="1"/>
  <c r="N70" i="1" s="1"/>
  <c r="O70" i="1" s="1"/>
  <c r="P70" i="1" s="1"/>
  <c r="Q70" i="1" s="1"/>
  <c r="R70" i="1" s="1"/>
  <c r="S70" i="1" s="1"/>
  <c r="T70" i="1" s="1"/>
  <c r="U70" i="1" s="1"/>
  <c r="V70" i="1" s="1"/>
  <c r="W70" i="1" s="1"/>
  <c r="X70" i="1" s="1"/>
  <c r="Y70" i="1" s="1"/>
  <c r="Z70" i="1" s="1"/>
  <c r="AA70" i="1" s="1"/>
  <c r="AB70" i="1" s="1"/>
  <c r="AC70" i="1" s="1"/>
  <c r="AD70" i="1" s="1"/>
  <c r="AE70" i="1" s="1"/>
  <c r="AF70" i="1" s="1"/>
  <c r="AG70" i="1" s="1"/>
  <c r="AH70" i="1" s="1"/>
  <c r="AI70" i="1" s="1"/>
  <c r="AJ70" i="1" s="1"/>
  <c r="D58" i="22"/>
  <c r="E58" i="22" s="1"/>
  <c r="B78" i="1"/>
  <c r="D66" i="22"/>
  <c r="E54" i="22"/>
  <c r="E65" i="22"/>
  <c r="E57" i="22"/>
  <c r="D4" i="22"/>
  <c r="E10" i="22"/>
  <c r="F10" i="22" s="1"/>
  <c r="E56" i="22"/>
  <c r="C13" i="20"/>
  <c r="B16" i="20"/>
  <c r="B48" i="20" s="1"/>
  <c r="C2" i="20"/>
  <c r="G21" i="20"/>
  <c r="H15" i="20"/>
  <c r="B26" i="20"/>
  <c r="B27" i="20" s="1"/>
  <c r="B30" i="20" s="1"/>
  <c r="B49" i="20" s="1"/>
  <c r="J144" i="1"/>
  <c r="AF144" i="1"/>
  <c r="Y144" i="1"/>
  <c r="R144" i="1"/>
  <c r="L144" i="1"/>
  <c r="M144" i="1"/>
  <c r="N144" i="1"/>
  <c r="T144" i="1"/>
  <c r="V144" i="1"/>
  <c r="B70" i="1"/>
  <c r="Q24" i="19"/>
  <c r="Q28" i="19"/>
  <c r="Q31" i="19"/>
  <c r="Q21" i="19"/>
  <c r="Q29" i="19" s="1"/>
  <c r="Q34" i="19"/>
  <c r="Q32" i="19"/>
  <c r="U106" i="19"/>
  <c r="U107" i="19"/>
  <c r="F58" i="1"/>
  <c r="H53" i="2"/>
  <c r="K53" i="2"/>
  <c r="C58" i="1"/>
  <c r="B6" i="7"/>
  <c r="D8" i="1"/>
  <c r="E9" i="8"/>
  <c r="F123" i="1"/>
  <c r="F248" i="1" s="1"/>
  <c r="F249" i="1" s="1"/>
  <c r="R105" i="19"/>
  <c r="R107" i="19"/>
  <c r="B62" i="1"/>
  <c r="F78" i="1"/>
  <c r="G78" i="1" s="1"/>
  <c r="H78" i="1" s="1"/>
  <c r="I78" i="1" s="1"/>
  <c r="J78" i="1" s="1"/>
  <c r="K78" i="1" s="1"/>
  <c r="L78" i="1" s="1"/>
  <c r="M78" i="1" s="1"/>
  <c r="N78" i="1" s="1"/>
  <c r="O78" i="1" s="1"/>
  <c r="P78" i="1" s="1"/>
  <c r="Q78" i="1" s="1"/>
  <c r="R78" i="1" s="1"/>
  <c r="S78" i="1" s="1"/>
  <c r="T78" i="1" s="1"/>
  <c r="U78" i="1" s="1"/>
  <c r="V78" i="1" s="1"/>
  <c r="W78" i="1" s="1"/>
  <c r="X78" i="1" s="1"/>
  <c r="Y78" i="1" s="1"/>
  <c r="Z78" i="1" s="1"/>
  <c r="AA78" i="1" s="1"/>
  <c r="AB78" i="1" s="1"/>
  <c r="AC78" i="1" s="1"/>
  <c r="AD78" i="1" s="1"/>
  <c r="AE78" i="1" s="1"/>
  <c r="AF78" i="1" s="1"/>
  <c r="AG78" i="1" s="1"/>
  <c r="AH78" i="1" s="1"/>
  <c r="AI78" i="1" s="1"/>
  <c r="AJ78" i="1" s="1"/>
  <c r="F64" i="1"/>
  <c r="B16" i="17"/>
  <c r="R2" i="17" s="1"/>
  <c r="P2" i="17"/>
  <c r="Q45" i="19"/>
  <c r="Q46" i="19" s="1"/>
  <c r="Q43" i="19"/>
  <c r="Q107" i="19"/>
  <c r="Q106" i="19"/>
  <c r="Q105" i="19"/>
  <c r="B36" i="1"/>
  <c r="E52" i="1"/>
  <c r="B52" i="1"/>
  <c r="T28" i="19"/>
  <c r="T34" i="19"/>
  <c r="T31" i="19"/>
  <c r="T21" i="19"/>
  <c r="T29" i="19" s="1"/>
  <c r="T32" i="19"/>
  <c r="T24" i="19"/>
  <c r="S106" i="19"/>
  <c r="S105" i="19"/>
  <c r="S107" i="19"/>
  <c r="H108" i="1"/>
  <c r="G285" i="1"/>
  <c r="G334" i="1"/>
  <c r="G236" i="1"/>
  <c r="G195" i="1"/>
  <c r="B72" i="1"/>
  <c r="F72" i="1"/>
  <c r="B79" i="1"/>
  <c r="F79" i="1"/>
  <c r="H78" i="12"/>
  <c r="H66" i="12"/>
  <c r="H21" i="12"/>
  <c r="I21" i="12" s="1"/>
  <c r="B68" i="1"/>
  <c r="F68" i="1"/>
  <c r="T43" i="19"/>
  <c r="T45" i="19"/>
  <c r="T46" i="19" s="1"/>
  <c r="T107" i="19"/>
  <c r="T106" i="19"/>
  <c r="T105" i="19"/>
  <c r="F227" i="1"/>
  <c r="F276" i="1"/>
  <c r="F97" i="1"/>
  <c r="F325" i="1"/>
  <c r="I92" i="1"/>
  <c r="H95" i="1"/>
  <c r="G115" i="1" s="1"/>
  <c r="H96" i="1"/>
  <c r="G30" i="1"/>
  <c r="G36" i="1"/>
  <c r="U30" i="19"/>
  <c r="D50" i="2"/>
  <c r="D54" i="2" s="1"/>
  <c r="I38" i="1"/>
  <c r="I42" i="1" s="1"/>
  <c r="B13" i="17"/>
  <c r="O2" i="17" s="1"/>
  <c r="M2" i="17"/>
  <c r="H47" i="1"/>
  <c r="G52" i="1"/>
  <c r="E81" i="12"/>
  <c r="E80" i="12"/>
  <c r="D22" i="12"/>
  <c r="K21" i="12"/>
  <c r="C105" i="12"/>
  <c r="C104" i="12"/>
  <c r="D26" i="12"/>
  <c r="F68" i="12"/>
  <c r="F69" i="12"/>
  <c r="E68" i="12"/>
  <c r="E69" i="12"/>
  <c r="E58" i="12"/>
  <c r="D69" i="12"/>
  <c r="D68" i="12"/>
  <c r="B58" i="12"/>
  <c r="E105" i="12"/>
  <c r="E104" i="12"/>
  <c r="B68" i="12"/>
  <c r="B69" i="12"/>
  <c r="F22" i="12"/>
  <c r="E22" i="12"/>
  <c r="D55" i="1" l="1"/>
  <c r="D85" i="1"/>
  <c r="D87" i="1" s="1"/>
  <c r="I37" i="1"/>
  <c r="I41" i="1" s="1"/>
  <c r="E117" i="1"/>
  <c r="E132" i="1" s="1"/>
  <c r="E145" i="1" s="1"/>
  <c r="G239" i="1"/>
  <c r="F13" i="7"/>
  <c r="G288" i="1"/>
  <c r="G337" i="1"/>
  <c r="B58" i="1"/>
  <c r="D46" i="22"/>
  <c r="E46" i="22" s="1"/>
  <c r="E59" i="1"/>
  <c r="D47" i="22" s="1"/>
  <c r="E47" i="22" s="1"/>
  <c r="J37" i="1"/>
  <c r="J41" i="1" s="1"/>
  <c r="K32" i="1"/>
  <c r="B41" i="1"/>
  <c r="D28" i="22"/>
  <c r="E28" i="22" s="1"/>
  <c r="E60" i="1"/>
  <c r="D48" i="22" s="1"/>
  <c r="E48" i="22" s="1"/>
  <c r="C29" i="11"/>
  <c r="B31" i="12" s="1"/>
  <c r="I31" i="12" s="1"/>
  <c r="C9" i="11"/>
  <c r="C5" i="12"/>
  <c r="C60" i="12"/>
  <c r="C58" i="12"/>
  <c r="K26" i="12"/>
  <c r="C27" i="12"/>
  <c r="E27" i="12"/>
  <c r="K25" i="12" s="1"/>
  <c r="F61" i="12"/>
  <c r="K61" i="12" s="1"/>
  <c r="C62" i="12"/>
  <c r="E161" i="1"/>
  <c r="F43" i="1"/>
  <c r="F55" i="1" s="1"/>
  <c r="D27" i="22"/>
  <c r="M57" i="1"/>
  <c r="F45" i="1"/>
  <c r="G65" i="1"/>
  <c r="H65" i="1" s="1"/>
  <c r="I65" i="1" s="1"/>
  <c r="J65" i="1" s="1"/>
  <c r="K65" i="1" s="1"/>
  <c r="L65" i="1" s="1"/>
  <c r="M65" i="1" s="1"/>
  <c r="N65" i="1" s="1"/>
  <c r="O65" i="1" s="1"/>
  <c r="P65" i="1" s="1"/>
  <c r="Q65" i="1" s="1"/>
  <c r="R65" i="1" s="1"/>
  <c r="S65" i="1" s="1"/>
  <c r="T65" i="1" s="1"/>
  <c r="U65" i="1" s="1"/>
  <c r="V65" i="1" s="1"/>
  <c r="W65" i="1" s="1"/>
  <c r="X65" i="1" s="1"/>
  <c r="Y65" i="1" s="1"/>
  <c r="Z65" i="1" s="1"/>
  <c r="AA65" i="1" s="1"/>
  <c r="AB65" i="1" s="1"/>
  <c r="AC65" i="1" s="1"/>
  <c r="AD65" i="1" s="1"/>
  <c r="AE65" i="1" s="1"/>
  <c r="AF65" i="1" s="1"/>
  <c r="AG65" i="1" s="1"/>
  <c r="AH65" i="1" s="1"/>
  <c r="AI65" i="1" s="1"/>
  <c r="AJ65" i="1" s="1"/>
  <c r="F57" i="1"/>
  <c r="H57" i="1"/>
  <c r="H35" i="12"/>
  <c r="I35" i="12" s="1"/>
  <c r="H97" i="12"/>
  <c r="C73" i="22"/>
  <c r="H85" i="12"/>
  <c r="G61" i="1"/>
  <c r="H61" i="1" s="1"/>
  <c r="I61" i="1" s="1"/>
  <c r="J61" i="1" s="1"/>
  <c r="K61" i="1" s="1"/>
  <c r="J57" i="1"/>
  <c r="C71" i="22"/>
  <c r="Q57" i="1"/>
  <c r="I57" i="1"/>
  <c r="I45" i="1"/>
  <c r="G63" i="1"/>
  <c r="H63" i="1" s="1"/>
  <c r="I63" i="1" s="1"/>
  <c r="J63" i="1" s="1"/>
  <c r="K63" i="1" s="1"/>
  <c r="L63" i="1" s="1"/>
  <c r="M63" i="1" s="1"/>
  <c r="N63" i="1" s="1"/>
  <c r="O63" i="1" s="1"/>
  <c r="P63" i="1" s="1"/>
  <c r="Q63" i="1" s="1"/>
  <c r="R63" i="1" s="1"/>
  <c r="S63" i="1" s="1"/>
  <c r="T63" i="1" s="1"/>
  <c r="U63" i="1" s="1"/>
  <c r="V63" i="1" s="1"/>
  <c r="W63" i="1" s="1"/>
  <c r="X63" i="1" s="1"/>
  <c r="Y63" i="1" s="1"/>
  <c r="Z63" i="1" s="1"/>
  <c r="AA63" i="1" s="1"/>
  <c r="AB63" i="1" s="1"/>
  <c r="AC63" i="1" s="1"/>
  <c r="AD63" i="1" s="1"/>
  <c r="AE63" i="1" s="1"/>
  <c r="AF63" i="1" s="1"/>
  <c r="AG63" i="1" s="1"/>
  <c r="AH63" i="1" s="1"/>
  <c r="AI63" i="1" s="1"/>
  <c r="AJ63" i="1" s="1"/>
  <c r="P57" i="1"/>
  <c r="S30" i="19"/>
  <c r="G29" i="20"/>
  <c r="B50" i="20"/>
  <c r="B35" i="20" s="1"/>
  <c r="K57" i="1"/>
  <c r="H36" i="12"/>
  <c r="I36" i="12" s="1"/>
  <c r="K45" i="1"/>
  <c r="H44" i="12"/>
  <c r="I44" i="12" s="1"/>
  <c r="G62" i="1"/>
  <c r="H62" i="1" s="1"/>
  <c r="I62" i="1" s="1"/>
  <c r="J62" i="1" s="1"/>
  <c r="K62" i="1" s="1"/>
  <c r="L62" i="1" s="1"/>
  <c r="M62" i="1" s="1"/>
  <c r="N62" i="1" s="1"/>
  <c r="O62" i="1" s="1"/>
  <c r="P62" i="1" s="1"/>
  <c r="Q62" i="1" s="1"/>
  <c r="R62" i="1" s="1"/>
  <c r="S62" i="1" s="1"/>
  <c r="T62" i="1" s="1"/>
  <c r="U62" i="1" s="1"/>
  <c r="V62" i="1" s="1"/>
  <c r="W62" i="1" s="1"/>
  <c r="X62" i="1" s="1"/>
  <c r="Y62" i="1" s="1"/>
  <c r="Z62" i="1" s="1"/>
  <c r="AA62" i="1" s="1"/>
  <c r="AB62" i="1" s="1"/>
  <c r="AC62" i="1" s="1"/>
  <c r="AD62" i="1" s="1"/>
  <c r="AE62" i="1" s="1"/>
  <c r="AF62" i="1" s="1"/>
  <c r="AG62" i="1" s="1"/>
  <c r="AH62" i="1" s="1"/>
  <c r="AI62" i="1" s="1"/>
  <c r="AJ62" i="1" s="1"/>
  <c r="C16" i="20"/>
  <c r="B34" i="20"/>
  <c r="B39" i="20"/>
  <c r="C39" i="20" s="1"/>
  <c r="C30" i="20"/>
  <c r="Q30" i="19"/>
  <c r="G58" i="1"/>
  <c r="H58" i="1" s="1"/>
  <c r="I58" i="1" s="1"/>
  <c r="J58" i="1" s="1"/>
  <c r="K58" i="1" s="1"/>
  <c r="L58" i="1" s="1"/>
  <c r="M58" i="1" s="1"/>
  <c r="N58" i="1" s="1"/>
  <c r="O58" i="1" s="1"/>
  <c r="P58" i="1" s="1"/>
  <c r="Q58" i="1" s="1"/>
  <c r="R58" i="1" s="1"/>
  <c r="S58" i="1" s="1"/>
  <c r="T58" i="1" s="1"/>
  <c r="U58" i="1" s="1"/>
  <c r="V58" i="1" s="1"/>
  <c r="W58" i="1" s="1"/>
  <c r="X58" i="1" s="1"/>
  <c r="Y58" i="1" s="1"/>
  <c r="Z58" i="1" s="1"/>
  <c r="AA58" i="1" s="1"/>
  <c r="AB58" i="1" s="1"/>
  <c r="AC58" i="1" s="1"/>
  <c r="AD58" i="1" s="1"/>
  <c r="AE58" i="1" s="1"/>
  <c r="AF58" i="1" s="1"/>
  <c r="AG58" i="1" s="1"/>
  <c r="AH58" i="1" s="1"/>
  <c r="AI58" i="1" s="1"/>
  <c r="AJ58" i="1" s="1"/>
  <c r="H32" i="12"/>
  <c r="I32" i="12" s="1"/>
  <c r="B14" i="7"/>
  <c r="B15" i="7" s="1"/>
  <c r="B7" i="7"/>
  <c r="F124" i="1"/>
  <c r="E201" i="1"/>
  <c r="E209" i="1" s="1"/>
  <c r="E213" i="1" s="1"/>
  <c r="E8" i="1"/>
  <c r="H45" i="1"/>
  <c r="H52" i="12"/>
  <c r="I52" i="12" s="1"/>
  <c r="O57" i="1"/>
  <c r="H38" i="12"/>
  <c r="I38" i="12" s="1"/>
  <c r="G64" i="1"/>
  <c r="H64" i="1" s="1"/>
  <c r="G45" i="1"/>
  <c r="G57" i="1"/>
  <c r="N57" i="1"/>
  <c r="F275" i="1"/>
  <c r="F226" i="1"/>
  <c r="F99" i="1"/>
  <c r="F324" i="1"/>
  <c r="G68" i="1"/>
  <c r="H68" i="1" s="1"/>
  <c r="I68" i="1" s="1"/>
  <c r="J68" i="1" s="1"/>
  <c r="K68" i="1" s="1"/>
  <c r="L68" i="1" s="1"/>
  <c r="M68" i="1" s="1"/>
  <c r="N68" i="1" s="1"/>
  <c r="O68" i="1" s="1"/>
  <c r="P68" i="1" s="1"/>
  <c r="Q68" i="1" s="1"/>
  <c r="R68" i="1" s="1"/>
  <c r="S68" i="1" s="1"/>
  <c r="T68" i="1" s="1"/>
  <c r="U68" i="1" s="1"/>
  <c r="V68" i="1" s="1"/>
  <c r="W68" i="1" s="1"/>
  <c r="X68" i="1" s="1"/>
  <c r="Y68" i="1" s="1"/>
  <c r="Z68" i="1" s="1"/>
  <c r="AA68" i="1" s="1"/>
  <c r="AB68" i="1" s="1"/>
  <c r="AC68" i="1" s="1"/>
  <c r="AD68" i="1" s="1"/>
  <c r="AE68" i="1" s="1"/>
  <c r="AF68" i="1" s="1"/>
  <c r="AG68" i="1" s="1"/>
  <c r="AH68" i="1" s="1"/>
  <c r="AI68" i="1" s="1"/>
  <c r="AJ68" i="1" s="1"/>
  <c r="H42" i="12"/>
  <c r="I42" i="12" s="1"/>
  <c r="I47" i="1"/>
  <c r="H52" i="1"/>
  <c r="J38" i="1"/>
  <c r="J42" i="1" s="1"/>
  <c r="K33" i="1"/>
  <c r="G40" i="1"/>
  <c r="G43" i="1" s="1"/>
  <c r="G55" i="1" s="1"/>
  <c r="H322" i="1"/>
  <c r="H224" i="1"/>
  <c r="G93" i="1"/>
  <c r="G113" i="1" s="1"/>
  <c r="H273" i="1"/>
  <c r="G79" i="1"/>
  <c r="H79" i="1" s="1"/>
  <c r="I79" i="1" s="1"/>
  <c r="J79" i="1" s="1"/>
  <c r="K79" i="1" s="1"/>
  <c r="L79" i="1" s="1"/>
  <c r="M79" i="1" s="1"/>
  <c r="N79" i="1" s="1"/>
  <c r="O79" i="1" s="1"/>
  <c r="P79" i="1" s="1"/>
  <c r="Q79" i="1" s="1"/>
  <c r="R79" i="1" s="1"/>
  <c r="S79" i="1" s="1"/>
  <c r="T79" i="1" s="1"/>
  <c r="U79" i="1" s="1"/>
  <c r="V79" i="1" s="1"/>
  <c r="W79" i="1" s="1"/>
  <c r="X79" i="1" s="1"/>
  <c r="Y79" i="1" s="1"/>
  <c r="Z79" i="1" s="1"/>
  <c r="AA79" i="1" s="1"/>
  <c r="AB79" i="1" s="1"/>
  <c r="AC79" i="1" s="1"/>
  <c r="AD79" i="1" s="1"/>
  <c r="AE79" i="1" s="1"/>
  <c r="AF79" i="1" s="1"/>
  <c r="AG79" i="1" s="1"/>
  <c r="AH79" i="1" s="1"/>
  <c r="AI79" i="1" s="1"/>
  <c r="AJ79" i="1" s="1"/>
  <c r="H53" i="12"/>
  <c r="I53" i="12" s="1"/>
  <c r="D59" i="22"/>
  <c r="E59" i="22" s="1"/>
  <c r="D55" i="2"/>
  <c r="C57" i="2"/>
  <c r="H30" i="1"/>
  <c r="H36" i="1"/>
  <c r="J92" i="1"/>
  <c r="I96" i="1"/>
  <c r="I95" i="1"/>
  <c r="T30" i="19"/>
  <c r="B40" i="1"/>
  <c r="H10" i="12"/>
  <c r="I10" i="12" s="1"/>
  <c r="H225" i="1"/>
  <c r="H274" i="1"/>
  <c r="G9" i="7"/>
  <c r="H323" i="1"/>
  <c r="H46" i="12"/>
  <c r="I46" i="12" s="1"/>
  <c r="G72" i="1"/>
  <c r="H72" i="1" s="1"/>
  <c r="I72" i="1" s="1"/>
  <c r="J72" i="1" s="1"/>
  <c r="K72" i="1" s="1"/>
  <c r="L72" i="1" s="1"/>
  <c r="M72" i="1" s="1"/>
  <c r="N72" i="1" s="1"/>
  <c r="O72" i="1" s="1"/>
  <c r="P72" i="1" s="1"/>
  <c r="Q72" i="1" s="1"/>
  <c r="R72" i="1" s="1"/>
  <c r="S72" i="1" s="1"/>
  <c r="T72" i="1" s="1"/>
  <c r="U72" i="1" s="1"/>
  <c r="V72" i="1" s="1"/>
  <c r="W72" i="1" s="1"/>
  <c r="X72" i="1" s="1"/>
  <c r="Y72" i="1" s="1"/>
  <c r="Z72" i="1" s="1"/>
  <c r="AA72" i="1" s="1"/>
  <c r="AB72" i="1" s="1"/>
  <c r="AC72" i="1" s="1"/>
  <c r="AD72" i="1" s="1"/>
  <c r="AE72" i="1" s="1"/>
  <c r="AF72" i="1" s="1"/>
  <c r="AG72" i="1" s="1"/>
  <c r="AH72" i="1" s="1"/>
  <c r="AI72" i="1" s="1"/>
  <c r="AJ72" i="1" s="1"/>
  <c r="H334" i="1"/>
  <c r="I108" i="1"/>
  <c r="H236" i="1"/>
  <c r="H285" i="1"/>
  <c r="H195" i="1"/>
  <c r="F27" i="12"/>
  <c r="K27" i="12"/>
  <c r="D58" i="12"/>
  <c r="D61" i="12"/>
  <c r="D62" i="12" s="1"/>
  <c r="D27" i="12"/>
  <c r="F60" i="1" l="1"/>
  <c r="E43" i="1"/>
  <c r="B43" i="1"/>
  <c r="B60" i="1"/>
  <c r="D37" i="8"/>
  <c r="D40" i="8" s="1"/>
  <c r="E242" i="1"/>
  <c r="G112" i="1"/>
  <c r="K112" i="1"/>
  <c r="O112" i="1"/>
  <c r="S112" i="1"/>
  <c r="W112" i="1"/>
  <c r="AA112" i="1"/>
  <c r="AE112" i="1"/>
  <c r="AI112" i="1"/>
  <c r="N112" i="1"/>
  <c r="Z112" i="1"/>
  <c r="H112" i="1"/>
  <c r="L112" i="1"/>
  <c r="P112" i="1"/>
  <c r="T112" i="1"/>
  <c r="X112" i="1"/>
  <c r="AB112" i="1"/>
  <c r="AF112" i="1"/>
  <c r="AJ112" i="1"/>
  <c r="R112" i="1"/>
  <c r="AD112" i="1"/>
  <c r="I112" i="1"/>
  <c r="M112" i="1"/>
  <c r="Q112" i="1"/>
  <c r="U112" i="1"/>
  <c r="Y112" i="1"/>
  <c r="AC112" i="1"/>
  <c r="AG112" i="1"/>
  <c r="F112" i="1"/>
  <c r="J112" i="1"/>
  <c r="V112" i="1"/>
  <c r="AH112" i="1"/>
  <c r="F39" i="19"/>
  <c r="F47" i="19" s="1"/>
  <c r="E134" i="1"/>
  <c r="B59" i="1"/>
  <c r="K37" i="1"/>
  <c r="K41" i="1" s="1"/>
  <c r="L32" i="1"/>
  <c r="F59" i="1"/>
  <c r="G59" i="1" s="1"/>
  <c r="H59" i="1" s="1"/>
  <c r="I59" i="1" s="1"/>
  <c r="J59" i="1" s="1"/>
  <c r="K59" i="1" s="1"/>
  <c r="L59" i="1" s="1"/>
  <c r="M59" i="1" s="1"/>
  <c r="N59" i="1" s="1"/>
  <c r="O59" i="1" s="1"/>
  <c r="P59" i="1" s="1"/>
  <c r="Q59" i="1" s="1"/>
  <c r="R59" i="1" s="1"/>
  <c r="S59" i="1" s="1"/>
  <c r="T59" i="1" s="1"/>
  <c r="U59" i="1" s="1"/>
  <c r="V59" i="1" s="1"/>
  <c r="W59" i="1" s="1"/>
  <c r="X59" i="1" s="1"/>
  <c r="Y59" i="1" s="1"/>
  <c r="Z59" i="1" s="1"/>
  <c r="AA59" i="1" s="1"/>
  <c r="AB59" i="1" s="1"/>
  <c r="AC59" i="1" s="1"/>
  <c r="AD59" i="1" s="1"/>
  <c r="AE59" i="1" s="1"/>
  <c r="AF59" i="1" s="1"/>
  <c r="AG59" i="1" s="1"/>
  <c r="AH59" i="1" s="1"/>
  <c r="AI59" i="1" s="1"/>
  <c r="AJ59" i="1" s="1"/>
  <c r="C110" i="12"/>
  <c r="C65" i="12"/>
  <c r="B60" i="12"/>
  <c r="I60" i="12" s="1"/>
  <c r="B5" i="12"/>
  <c r="E27" i="22"/>
  <c r="E30" i="22" s="1"/>
  <c r="E42" i="22" s="1"/>
  <c r="D30" i="22"/>
  <c r="D42" i="22" s="1"/>
  <c r="D69" i="22" s="1"/>
  <c r="E69" i="22" s="1"/>
  <c r="H11" i="12"/>
  <c r="I11" i="12" s="1"/>
  <c r="H98" i="12"/>
  <c r="H99" i="12"/>
  <c r="H73" i="12"/>
  <c r="H86" i="12"/>
  <c r="H87" i="12"/>
  <c r="H91" i="12"/>
  <c r="H79" i="12"/>
  <c r="H80" i="12" s="1"/>
  <c r="G25" i="20"/>
  <c r="G23" i="20"/>
  <c r="B36" i="20"/>
  <c r="B51" i="20" s="1"/>
  <c r="B52" i="20" s="1"/>
  <c r="B53" i="20" s="1"/>
  <c r="B37" i="20" s="1"/>
  <c r="G60" i="1"/>
  <c r="H60" i="1" s="1"/>
  <c r="I60" i="1" s="1"/>
  <c r="J60" i="1" s="1"/>
  <c r="K60" i="1" s="1"/>
  <c r="L60" i="1" s="1"/>
  <c r="M60" i="1" s="1"/>
  <c r="N60" i="1" s="1"/>
  <c r="O60" i="1" s="1"/>
  <c r="P60" i="1" s="1"/>
  <c r="Q60" i="1" s="1"/>
  <c r="R60" i="1" s="1"/>
  <c r="S60" i="1" s="1"/>
  <c r="T60" i="1" s="1"/>
  <c r="U60" i="1" s="1"/>
  <c r="V60" i="1" s="1"/>
  <c r="W60" i="1" s="1"/>
  <c r="X60" i="1" s="1"/>
  <c r="Y60" i="1" s="1"/>
  <c r="Z60" i="1" s="1"/>
  <c r="AA60" i="1" s="1"/>
  <c r="AB60" i="1" s="1"/>
  <c r="AC60" i="1" s="1"/>
  <c r="AD60" i="1" s="1"/>
  <c r="AE60" i="1" s="1"/>
  <c r="AF60" i="1" s="1"/>
  <c r="AG60" i="1" s="1"/>
  <c r="AH60" i="1" s="1"/>
  <c r="AI60" i="1" s="1"/>
  <c r="AJ60" i="1" s="1"/>
  <c r="H34" i="12"/>
  <c r="I34" i="12" s="1"/>
  <c r="H33" i="12"/>
  <c r="I33" i="12" s="1"/>
  <c r="H103" i="12"/>
  <c r="H67" i="12"/>
  <c r="H40" i="1"/>
  <c r="H43" i="1" s="1"/>
  <c r="H55" i="1" s="1"/>
  <c r="G81" i="1"/>
  <c r="G54" i="1"/>
  <c r="F4" i="7"/>
  <c r="I285" i="1"/>
  <c r="I334" i="1"/>
  <c r="I195" i="1"/>
  <c r="J108" i="1"/>
  <c r="K92" i="1"/>
  <c r="L92" i="1" s="1"/>
  <c r="I36" i="1"/>
  <c r="I30" i="1"/>
  <c r="J47" i="1"/>
  <c r="I52" i="1"/>
  <c r="H9" i="7"/>
  <c r="I274" i="1"/>
  <c r="I323" i="1"/>
  <c r="F54" i="1"/>
  <c r="B55" i="1"/>
  <c r="E4" i="7"/>
  <c r="E54" i="1"/>
  <c r="E55" i="1" s="1"/>
  <c r="D27" i="16" s="1"/>
  <c r="F81" i="1"/>
  <c r="F71" i="1"/>
  <c r="B71" i="1"/>
  <c r="I322" i="1"/>
  <c r="H115" i="1"/>
  <c r="I273" i="1"/>
  <c r="D60" i="2"/>
  <c r="C58" i="2"/>
  <c r="C59" i="2" s="1"/>
  <c r="H93" i="1"/>
  <c r="H113" i="1" s="1"/>
  <c r="K38" i="1"/>
  <c r="K42" i="1" s="1"/>
  <c r="L33" i="1"/>
  <c r="F228" i="1"/>
  <c r="G94" i="1"/>
  <c r="F326" i="1"/>
  <c r="F277" i="1"/>
  <c r="F62" i="12"/>
  <c r="E62" i="12"/>
  <c r="K60" i="12" s="1"/>
  <c r="K62" i="12"/>
  <c r="L61" i="1"/>
  <c r="I64" i="1"/>
  <c r="H47" i="8" l="1"/>
  <c r="E47" i="8"/>
  <c r="E259" i="1"/>
  <c r="E291" i="1"/>
  <c r="I47" i="8"/>
  <c r="G47" i="8"/>
  <c r="F47" i="8"/>
  <c r="F60" i="19"/>
  <c r="F77" i="19" s="1"/>
  <c r="F76" i="19"/>
  <c r="F57" i="19"/>
  <c r="F65" i="19" s="1"/>
  <c r="F56" i="19"/>
  <c r="F64" i="19"/>
  <c r="L37" i="1"/>
  <c r="L41" i="1" s="1"/>
  <c r="M32" i="1"/>
  <c r="B110" i="12"/>
  <c r="B65" i="12"/>
  <c r="H26" i="12"/>
  <c r="I26" i="12" s="1"/>
  <c r="H75" i="12"/>
  <c r="H74" i="12"/>
  <c r="H104" i="12"/>
  <c r="H81" i="12"/>
  <c r="H92" i="12"/>
  <c r="H69" i="12"/>
  <c r="H93" i="12"/>
  <c r="G24" i="20"/>
  <c r="G26" i="20" s="1"/>
  <c r="G27" i="20" s="1"/>
  <c r="H105" i="12"/>
  <c r="H68" i="12"/>
  <c r="G272" i="1"/>
  <c r="G321" i="1"/>
  <c r="G98" i="1"/>
  <c r="G223" i="1"/>
  <c r="H288" i="1"/>
  <c r="G13" i="7"/>
  <c r="H239" i="1"/>
  <c r="H337" i="1"/>
  <c r="K47" i="1"/>
  <c r="J52" i="1"/>
  <c r="M33" i="1"/>
  <c r="L38" i="1"/>
  <c r="L42" i="1" s="1"/>
  <c r="J30" i="1"/>
  <c r="K31" i="1"/>
  <c r="J36" i="1"/>
  <c r="J285" i="1"/>
  <c r="J334" i="1"/>
  <c r="J195" i="1"/>
  <c r="E81" i="1"/>
  <c r="B81" i="1" s="1"/>
  <c r="H55" i="12"/>
  <c r="I55" i="12" s="1"/>
  <c r="I40" i="1"/>
  <c r="I43" i="1" s="1"/>
  <c r="I55" i="1" s="1"/>
  <c r="M92" i="1"/>
  <c r="L95" i="1"/>
  <c r="H81" i="1"/>
  <c r="H54" i="1"/>
  <c r="G4" i="7"/>
  <c r="G71" i="1"/>
  <c r="H45" i="12"/>
  <c r="I45" i="12" s="1"/>
  <c r="F82" i="1"/>
  <c r="E82" i="1" s="1"/>
  <c r="J64" i="1"/>
  <c r="M61" i="1"/>
  <c r="E340" i="1" l="1"/>
  <c r="F297" i="1"/>
  <c r="F298" i="1" s="1"/>
  <c r="E308" i="1"/>
  <c r="F32" i="19"/>
  <c r="F58" i="19"/>
  <c r="G53" i="19" s="1"/>
  <c r="G55" i="19" s="1"/>
  <c r="F22" i="19"/>
  <c r="F59" i="19"/>
  <c r="F69" i="19"/>
  <c r="F70" i="19" s="1"/>
  <c r="F78" i="19" s="1"/>
  <c r="F82" i="19" s="1"/>
  <c r="F89" i="19"/>
  <c r="F67" i="19"/>
  <c r="F66" i="19"/>
  <c r="G62" i="19" s="1"/>
  <c r="G63" i="19" s="1"/>
  <c r="M37" i="1"/>
  <c r="M41" i="1" s="1"/>
  <c r="N32" i="1"/>
  <c r="H56" i="12"/>
  <c r="I56" i="12" s="1"/>
  <c r="H4" i="7"/>
  <c r="I81" i="1"/>
  <c r="I54" i="1"/>
  <c r="K115" i="1"/>
  <c r="L322" i="1"/>
  <c r="J40" i="1"/>
  <c r="J43" i="1" s="1"/>
  <c r="J55" i="1" s="1"/>
  <c r="N92" i="1"/>
  <c r="M95" i="1"/>
  <c r="L93" i="1" s="1"/>
  <c r="L113" i="1" s="1"/>
  <c r="K30" i="1"/>
  <c r="L31" i="1"/>
  <c r="K36" i="1"/>
  <c r="N33" i="1"/>
  <c r="M38" i="1"/>
  <c r="M42" i="1" s="1"/>
  <c r="H71" i="1"/>
  <c r="G82" i="1"/>
  <c r="G325" i="1"/>
  <c r="G227" i="1"/>
  <c r="G276" i="1"/>
  <c r="G97" i="1"/>
  <c r="F83" i="1"/>
  <c r="E5" i="7"/>
  <c r="E6" i="7" s="1"/>
  <c r="F85" i="1"/>
  <c r="D165" i="1"/>
  <c r="L47" i="1"/>
  <c r="K52" i="1"/>
  <c r="N61" i="1"/>
  <c r="K64" i="1"/>
  <c r="F80" i="19" l="1"/>
  <c r="F346" i="1"/>
  <c r="F347" i="1" s="1"/>
  <c r="E357" i="1"/>
  <c r="F79" i="19"/>
  <c r="G74" i="19" s="1"/>
  <c r="G75" i="19" s="1"/>
  <c r="F96" i="19"/>
  <c r="F91" i="19"/>
  <c r="F90" i="19"/>
  <c r="O32" i="1"/>
  <c r="N37" i="1"/>
  <c r="N41" i="1" s="1"/>
  <c r="H58" i="12"/>
  <c r="H61" i="12"/>
  <c r="I61" i="12" s="1"/>
  <c r="M47" i="1"/>
  <c r="L52" i="1"/>
  <c r="G85" i="1"/>
  <c r="G83" i="1"/>
  <c r="F5" i="7"/>
  <c r="F6" i="7" s="1"/>
  <c r="J81" i="1"/>
  <c r="J54" i="1"/>
  <c r="I4" i="7"/>
  <c r="J13" i="7"/>
  <c r="K337" i="1"/>
  <c r="F101" i="1"/>
  <c r="F100" i="1"/>
  <c r="F87" i="1"/>
  <c r="I71" i="1"/>
  <c r="H82" i="1"/>
  <c r="O33" i="1"/>
  <c r="N38" i="1"/>
  <c r="N42" i="1" s="1"/>
  <c r="B82" i="1"/>
  <c r="E83" i="1"/>
  <c r="E85" i="1"/>
  <c r="E87" i="1" s="1"/>
  <c r="O92" i="1"/>
  <c r="N95" i="1"/>
  <c r="E165" i="1"/>
  <c r="D166" i="1"/>
  <c r="G275" i="1"/>
  <c r="G324" i="1"/>
  <c r="G226" i="1"/>
  <c r="G99" i="1"/>
  <c r="F83" i="19"/>
  <c r="F84" i="19" s="1"/>
  <c r="F92" i="19"/>
  <c r="L30" i="1"/>
  <c r="M31" i="1"/>
  <c r="L36" i="1"/>
  <c r="E11" i="7"/>
  <c r="E14" i="7" s="1"/>
  <c r="E7" i="7"/>
  <c r="K40" i="1"/>
  <c r="K43" i="1" s="1"/>
  <c r="K55" i="1" s="1"/>
  <c r="M322" i="1"/>
  <c r="L115" i="1"/>
  <c r="L337" i="1" s="1"/>
  <c r="L64" i="1"/>
  <c r="O61" i="1"/>
  <c r="E166" i="1" l="1"/>
  <c r="E167" i="1" s="1"/>
  <c r="D9" i="1" s="1"/>
  <c r="G81" i="19"/>
  <c r="O37" i="1"/>
  <c r="O41" i="1" s="1"/>
  <c r="P32" i="1"/>
  <c r="L40" i="1"/>
  <c r="L43" i="1" s="1"/>
  <c r="L55" i="1" s="1"/>
  <c r="L81" i="1" s="1"/>
  <c r="G228" i="1"/>
  <c r="G277" i="1"/>
  <c r="G326" i="1"/>
  <c r="H94" i="1"/>
  <c r="B87" i="1"/>
  <c r="B27" i="16"/>
  <c r="P33" i="1"/>
  <c r="O38" i="1"/>
  <c r="O42" i="1" s="1"/>
  <c r="K81" i="1"/>
  <c r="J4" i="7"/>
  <c r="K54" i="1"/>
  <c r="F85" i="19"/>
  <c r="F93" i="19" s="1"/>
  <c r="N322" i="1"/>
  <c r="M115" i="1"/>
  <c r="M337" i="1" s="1"/>
  <c r="J71" i="1"/>
  <c r="I82" i="1"/>
  <c r="M93" i="1"/>
  <c r="M113" i="1" s="1"/>
  <c r="O95" i="1"/>
  <c r="P92" i="1"/>
  <c r="D10" i="1"/>
  <c r="F194" i="1"/>
  <c r="F90" i="1"/>
  <c r="F106" i="1"/>
  <c r="D84" i="2"/>
  <c r="D85" i="2" s="1"/>
  <c r="F89" i="1"/>
  <c r="F318" i="1"/>
  <c r="F104" i="1"/>
  <c r="F269" i="1"/>
  <c r="F7" i="7"/>
  <c r="F11" i="7"/>
  <c r="F14" i="7" s="1"/>
  <c r="N47" i="1"/>
  <c r="M52" i="1"/>
  <c r="N31" i="1"/>
  <c r="M36" i="1"/>
  <c r="M30" i="1"/>
  <c r="H83" i="1"/>
  <c r="G5" i="7"/>
  <c r="G6" i="7" s="1"/>
  <c r="H85" i="1"/>
  <c r="G87" i="1"/>
  <c r="G101" i="1"/>
  <c r="G100" i="1"/>
  <c r="P61" i="1"/>
  <c r="M64" i="1"/>
  <c r="P37" i="1" l="1"/>
  <c r="P41" i="1" s="1"/>
  <c r="Q32" i="1"/>
  <c r="F143" i="1"/>
  <c r="H223" i="1"/>
  <c r="H272" i="1"/>
  <c r="H321" i="1"/>
  <c r="H98" i="1"/>
  <c r="N36" i="1"/>
  <c r="N30" i="1"/>
  <c r="O31" i="1"/>
  <c r="N115" i="1"/>
  <c r="N337" i="1" s="1"/>
  <c r="O322" i="1"/>
  <c r="K71" i="1"/>
  <c r="J82" i="1"/>
  <c r="P38" i="1"/>
  <c r="P42" i="1" s="1"/>
  <c r="Q33" i="1"/>
  <c r="H87" i="1"/>
  <c r="H101" i="1"/>
  <c r="H100" i="1"/>
  <c r="O47" i="1"/>
  <c r="N52" i="1"/>
  <c r="F330" i="1"/>
  <c r="F281" i="1"/>
  <c r="F105" i="1"/>
  <c r="F232" i="1"/>
  <c r="H9" i="8"/>
  <c r="B8" i="7"/>
  <c r="G7" i="7"/>
  <c r="G11" i="7"/>
  <c r="G14" i="7" s="1"/>
  <c r="M40" i="1"/>
  <c r="M43" i="1" s="1"/>
  <c r="M55" i="1" s="1"/>
  <c r="M81" i="1" s="1"/>
  <c r="F117" i="1"/>
  <c r="F332" i="1"/>
  <c r="F340" i="1" s="1"/>
  <c r="F283" i="1"/>
  <c r="F291" i="1" s="1"/>
  <c r="F234" i="1"/>
  <c r="F242" i="1" s="1"/>
  <c r="P110" i="1"/>
  <c r="Q92" i="1"/>
  <c r="H5" i="7"/>
  <c r="H6" i="7" s="1"/>
  <c r="I85" i="1"/>
  <c r="I83" i="1"/>
  <c r="F97" i="19"/>
  <c r="F95" i="19"/>
  <c r="F94" i="19"/>
  <c r="G269" i="1"/>
  <c r="G104" i="1"/>
  <c r="G90" i="1"/>
  <c r="G106" i="1"/>
  <c r="G194" i="1"/>
  <c r="G318" i="1"/>
  <c r="G143" i="1"/>
  <c r="G89" i="1"/>
  <c r="F220" i="1"/>
  <c r="F213" i="1"/>
  <c r="F209" i="1"/>
  <c r="F201" i="1"/>
  <c r="N93" i="1"/>
  <c r="N113" i="1" s="1"/>
  <c r="F27" i="16"/>
  <c r="G27" i="16"/>
  <c r="Q61" i="1"/>
  <c r="N64" i="1"/>
  <c r="Q37" i="1" l="1"/>
  <c r="Q41" i="1" s="1"/>
  <c r="R32" i="1"/>
  <c r="F144" i="1"/>
  <c r="G330" i="1"/>
  <c r="G105" i="1"/>
  <c r="G232" i="1"/>
  <c r="G281" i="1"/>
  <c r="F98" i="19"/>
  <c r="F99" i="19" s="1"/>
  <c r="F100" i="19" s="1"/>
  <c r="F104" i="19" s="1"/>
  <c r="F21" i="19" s="1"/>
  <c r="F24" i="19" s="1"/>
  <c r="F299" i="1"/>
  <c r="P47" i="1"/>
  <c r="O52" i="1"/>
  <c r="Q38" i="1"/>
  <c r="Q42" i="1" s="1"/>
  <c r="R33" i="1"/>
  <c r="O36" i="1"/>
  <c r="O30" i="1"/>
  <c r="P31" i="1"/>
  <c r="G201" i="1"/>
  <c r="G209" i="1"/>
  <c r="G213" i="1"/>
  <c r="G220" i="1"/>
  <c r="Q110" i="1"/>
  <c r="R92" i="1"/>
  <c r="Q95" i="1"/>
  <c r="F348" i="1"/>
  <c r="G332" i="1"/>
  <c r="G340" i="1" s="1"/>
  <c r="G283" i="1"/>
  <c r="G291" i="1" s="1"/>
  <c r="G234" i="1"/>
  <c r="G242" i="1" s="1"/>
  <c r="G117" i="1"/>
  <c r="I100" i="1"/>
  <c r="I101" i="1"/>
  <c r="I87" i="1"/>
  <c r="G39" i="19"/>
  <c r="F125" i="1"/>
  <c r="F118" i="1"/>
  <c r="C27" i="1" s="1"/>
  <c r="J83" i="1"/>
  <c r="I5" i="7"/>
  <c r="I6" i="7" s="1"/>
  <c r="J85" i="1"/>
  <c r="N40" i="1"/>
  <c r="N43" i="1" s="1"/>
  <c r="N55" i="1" s="1"/>
  <c r="N81" i="1" s="1"/>
  <c r="H7" i="7"/>
  <c r="H11" i="7"/>
  <c r="F250" i="1"/>
  <c r="F251" i="1" s="1"/>
  <c r="H269" i="1"/>
  <c r="H194" i="1"/>
  <c r="H318" i="1"/>
  <c r="H89" i="1"/>
  <c r="H90" i="1"/>
  <c r="H106" i="1"/>
  <c r="H104" i="1"/>
  <c r="H143" i="1"/>
  <c r="L71" i="1"/>
  <c r="K82" i="1"/>
  <c r="H227" i="1"/>
  <c r="H325" i="1"/>
  <c r="H276" i="1"/>
  <c r="H97" i="1"/>
  <c r="O64" i="1"/>
  <c r="R61" i="1"/>
  <c r="R37" i="1" l="1"/>
  <c r="R41" i="1" s="1"/>
  <c r="S32" i="1"/>
  <c r="F252" i="1"/>
  <c r="F254" i="1" s="1"/>
  <c r="F257" i="1" s="1"/>
  <c r="F259" i="1" s="1"/>
  <c r="I7" i="7"/>
  <c r="F127" i="1"/>
  <c r="F126" i="1"/>
  <c r="G123" i="1" s="1"/>
  <c r="R95" i="1"/>
  <c r="R110" i="1"/>
  <c r="S92" i="1"/>
  <c r="O40" i="1"/>
  <c r="O43" i="1" s="1"/>
  <c r="O55" i="1" s="1"/>
  <c r="O81" i="1" s="1"/>
  <c r="H281" i="1"/>
  <c r="H330" i="1"/>
  <c r="H105" i="1"/>
  <c r="E28" i="1" s="1"/>
  <c r="H232" i="1"/>
  <c r="G41" i="19"/>
  <c r="G42" i="19" s="1"/>
  <c r="G19" i="19"/>
  <c r="G40" i="19"/>
  <c r="H39" i="19"/>
  <c r="G118" i="1"/>
  <c r="F301" i="1"/>
  <c r="F300" i="1"/>
  <c r="G297" i="1" s="1"/>
  <c r="H226" i="1"/>
  <c r="H275" i="1"/>
  <c r="H324" i="1"/>
  <c r="H99" i="1"/>
  <c r="K83" i="1"/>
  <c r="K85" i="1"/>
  <c r="K87" i="1" s="1"/>
  <c r="J5" i="7"/>
  <c r="J6" i="7" s="1"/>
  <c r="J7" i="7" s="1"/>
  <c r="H332" i="1"/>
  <c r="H340" i="1" s="1"/>
  <c r="H234" i="1"/>
  <c r="H283" i="1"/>
  <c r="H291" i="1" s="1"/>
  <c r="H117" i="1"/>
  <c r="H213" i="1"/>
  <c r="H209" i="1"/>
  <c r="H220" i="1"/>
  <c r="H240" i="1" s="1"/>
  <c r="H197" i="1"/>
  <c r="H201" i="1" s="1"/>
  <c r="E202" i="1" s="1"/>
  <c r="D171" i="1" s="1"/>
  <c r="E22" i="1" s="1"/>
  <c r="I104" i="1"/>
  <c r="I90" i="1"/>
  <c r="I106" i="1"/>
  <c r="I269" i="1"/>
  <c r="I318" i="1"/>
  <c r="I89" i="1"/>
  <c r="I194" i="1"/>
  <c r="F350" i="1"/>
  <c r="F349" i="1"/>
  <c r="G346" i="1" s="1"/>
  <c r="P30" i="1"/>
  <c r="P36" i="1"/>
  <c r="Q31" i="1"/>
  <c r="Q47" i="1"/>
  <c r="P52" i="1"/>
  <c r="F105" i="19"/>
  <c r="F106" i="19" s="1"/>
  <c r="F107" i="19" s="1"/>
  <c r="M71" i="1"/>
  <c r="L82" i="1"/>
  <c r="L85" i="1" s="1"/>
  <c r="L87" i="1" s="1"/>
  <c r="J87" i="1"/>
  <c r="P115" i="1"/>
  <c r="R38" i="1"/>
  <c r="R42" i="1" s="1"/>
  <c r="S33" i="1"/>
  <c r="S61" i="1"/>
  <c r="P64" i="1"/>
  <c r="T32" i="1" l="1"/>
  <c r="S37" i="1"/>
  <c r="S41" i="1" s="1"/>
  <c r="G119" i="1"/>
  <c r="F28" i="19"/>
  <c r="F34" i="19" s="1"/>
  <c r="F255" i="1"/>
  <c r="F258" i="1" s="1"/>
  <c r="Q30" i="1"/>
  <c r="Q36" i="1"/>
  <c r="R31" i="1"/>
  <c r="G347" i="1"/>
  <c r="G348" i="1" s="1"/>
  <c r="G350" i="1" s="1"/>
  <c r="I39" i="19"/>
  <c r="H118" i="1"/>
  <c r="H119" i="1" s="1"/>
  <c r="H40" i="19"/>
  <c r="H41" i="19"/>
  <c r="H42" i="19" s="1"/>
  <c r="H19" i="19"/>
  <c r="Q115" i="1"/>
  <c r="Q93" i="1"/>
  <c r="Q113" i="1" s="1"/>
  <c r="L194" i="1"/>
  <c r="L213" i="1" s="1"/>
  <c r="L318" i="1"/>
  <c r="L90" i="1"/>
  <c r="L104" i="1"/>
  <c r="L89" i="1"/>
  <c r="P40" i="1"/>
  <c r="P43" i="1" s="1"/>
  <c r="P55" i="1" s="1"/>
  <c r="P81" i="1" s="1"/>
  <c r="F353" i="1"/>
  <c r="F356" i="1" s="1"/>
  <c r="F352" i="1"/>
  <c r="F355" i="1" s="1"/>
  <c r="F357" i="1" s="1"/>
  <c r="I281" i="1"/>
  <c r="I105" i="1"/>
  <c r="I330" i="1"/>
  <c r="K104" i="1"/>
  <c r="K194" i="1"/>
  <c r="K213" i="1" s="1"/>
  <c r="K89" i="1"/>
  <c r="K90" i="1"/>
  <c r="K318" i="1"/>
  <c r="G298" i="1"/>
  <c r="G299" i="1" s="1"/>
  <c r="G301" i="1" s="1"/>
  <c r="G124" i="1"/>
  <c r="G125" i="1" s="1"/>
  <c r="G248" i="1"/>
  <c r="T33" i="1"/>
  <c r="S38" i="1"/>
  <c r="S42" i="1" s="1"/>
  <c r="J318" i="1"/>
  <c r="J90" i="1"/>
  <c r="J194" i="1"/>
  <c r="J89" i="1"/>
  <c r="C25" i="1" s="1"/>
  <c r="J269" i="1"/>
  <c r="J289" i="1" s="1"/>
  <c r="J104" i="1"/>
  <c r="N71" i="1"/>
  <c r="M82" i="1"/>
  <c r="M85" i="1" s="1"/>
  <c r="M87" i="1" s="1"/>
  <c r="I213" i="1"/>
  <c r="I209" i="1"/>
  <c r="F303" i="1"/>
  <c r="F306" i="1" s="1"/>
  <c r="F308" i="1" s="1"/>
  <c r="F304" i="1"/>
  <c r="F307" i="1" s="1"/>
  <c r="G31" i="19"/>
  <c r="S95" i="1"/>
  <c r="T92" i="1"/>
  <c r="S110" i="1"/>
  <c r="F130" i="1"/>
  <c r="F133" i="1" s="1"/>
  <c r="F129" i="1"/>
  <c r="F132" i="1" s="1"/>
  <c r="R47" i="1"/>
  <c r="Q52" i="1"/>
  <c r="I332" i="1"/>
  <c r="I283" i="1"/>
  <c r="H228" i="1"/>
  <c r="H241" i="1" s="1"/>
  <c r="H242" i="1" s="1"/>
  <c r="E244" i="1" s="1"/>
  <c r="D172" i="1" s="1"/>
  <c r="E23" i="1" s="1"/>
  <c r="H277" i="1"/>
  <c r="H326" i="1"/>
  <c r="I94" i="1"/>
  <c r="G43" i="19"/>
  <c r="G45" i="19"/>
  <c r="G46" i="19" s="1"/>
  <c r="Q64" i="1"/>
  <c r="T61" i="1"/>
  <c r="U32" i="1" l="1"/>
  <c r="T37" i="1"/>
  <c r="T41" i="1" s="1"/>
  <c r="G47" i="19"/>
  <c r="G57" i="19" s="1"/>
  <c r="G65" i="19" s="1"/>
  <c r="G349" i="1"/>
  <c r="H346" i="1" s="1"/>
  <c r="H347" i="1" s="1"/>
  <c r="H348" i="1" s="1"/>
  <c r="H350" i="1" s="1"/>
  <c r="G300" i="1"/>
  <c r="H297" i="1" s="1"/>
  <c r="H298" i="1" s="1"/>
  <c r="H299" i="1" s="1"/>
  <c r="H301" i="1" s="1"/>
  <c r="G126" i="1"/>
  <c r="H123" i="1" s="1"/>
  <c r="G127" i="1"/>
  <c r="F134" i="1"/>
  <c r="F135" i="1"/>
  <c r="F145" i="1"/>
  <c r="E16" i="7"/>
  <c r="R115" i="1"/>
  <c r="O71" i="1"/>
  <c r="N82" i="1"/>
  <c r="N85" i="1" s="1"/>
  <c r="N87" i="1" s="1"/>
  <c r="G249" i="1"/>
  <c r="G250" i="1" s="1"/>
  <c r="G252" i="1" s="1"/>
  <c r="L330" i="1"/>
  <c r="L105" i="1"/>
  <c r="R36" i="1"/>
  <c r="S31" i="1"/>
  <c r="R30" i="1"/>
  <c r="G304" i="1"/>
  <c r="G307" i="1" s="1"/>
  <c r="G303" i="1"/>
  <c r="G306" i="1" s="1"/>
  <c r="G308" i="1" s="1"/>
  <c r="H31" i="19"/>
  <c r="I40" i="19"/>
  <c r="I19" i="19"/>
  <c r="I41" i="19"/>
  <c r="I42" i="19" s="1"/>
  <c r="Q40" i="1"/>
  <c r="Q43" i="1" s="1"/>
  <c r="Q55" i="1" s="1"/>
  <c r="Q81" i="1" s="1"/>
  <c r="I272" i="1"/>
  <c r="I321" i="1"/>
  <c r="I98" i="1"/>
  <c r="S47" i="1"/>
  <c r="R52" i="1"/>
  <c r="B33" i="8"/>
  <c r="C33" i="8" s="1"/>
  <c r="J330" i="1"/>
  <c r="J105" i="1"/>
  <c r="F28" i="1" s="1"/>
  <c r="J281" i="1"/>
  <c r="J213" i="1"/>
  <c r="J208" i="1"/>
  <c r="J209" i="1" s="1"/>
  <c r="E210" i="1" s="1"/>
  <c r="E171" i="1" s="1"/>
  <c r="F22" i="1" s="1"/>
  <c r="U33" i="1"/>
  <c r="T38" i="1"/>
  <c r="T42" i="1" s="1"/>
  <c r="H43" i="19"/>
  <c r="H45" i="19"/>
  <c r="H46" i="19" s="1"/>
  <c r="T95" i="1"/>
  <c r="T110" i="1"/>
  <c r="U92" i="1"/>
  <c r="M318" i="1"/>
  <c r="M194" i="1"/>
  <c r="M213" i="1" s="1"/>
  <c r="M90" i="1"/>
  <c r="M89" i="1"/>
  <c r="M104" i="1"/>
  <c r="K105" i="1"/>
  <c r="K330" i="1"/>
  <c r="R93" i="1"/>
  <c r="R113" i="1" s="1"/>
  <c r="G352" i="1"/>
  <c r="G355" i="1" s="1"/>
  <c r="G357" i="1" s="1"/>
  <c r="G353" i="1"/>
  <c r="G356" i="1" s="1"/>
  <c r="U61" i="1"/>
  <c r="R64" i="1"/>
  <c r="S93" i="1" l="1"/>
  <c r="S113" i="1" s="1"/>
  <c r="H47" i="19"/>
  <c r="H64" i="19" s="1"/>
  <c r="V32" i="1"/>
  <c r="U37" i="1"/>
  <c r="U41" i="1" s="1"/>
  <c r="G64" i="19"/>
  <c r="G66" i="19" s="1"/>
  <c r="H62" i="19" s="1"/>
  <c r="H63" i="19" s="1"/>
  <c r="G60" i="19"/>
  <c r="G54" i="19" s="1"/>
  <c r="G56" i="19"/>
  <c r="G59" i="19" s="1"/>
  <c r="G76" i="19"/>
  <c r="G89" i="19"/>
  <c r="G96" i="19" s="1"/>
  <c r="H349" i="1"/>
  <c r="I346" i="1" s="1"/>
  <c r="H300" i="1"/>
  <c r="I297" i="1" s="1"/>
  <c r="I298" i="1" s="1"/>
  <c r="G251" i="1"/>
  <c r="E17" i="7"/>
  <c r="E45" i="8" s="1"/>
  <c r="E44" i="8" s="1"/>
  <c r="H303" i="1"/>
  <c r="H306" i="1" s="1"/>
  <c r="H308" i="1" s="1"/>
  <c r="H304" i="1"/>
  <c r="H307" i="1" s="1"/>
  <c r="I45" i="19"/>
  <c r="I46" i="19" s="1"/>
  <c r="I43" i="19"/>
  <c r="P71" i="1"/>
  <c r="O82" i="1"/>
  <c r="O85" i="1" s="1"/>
  <c r="S115" i="1"/>
  <c r="U38" i="1"/>
  <c r="U42" i="1" s="1"/>
  <c r="V33" i="1"/>
  <c r="I31" i="19"/>
  <c r="G255" i="1"/>
  <c r="G258" i="1" s="1"/>
  <c r="G254" i="1"/>
  <c r="G257" i="1" s="1"/>
  <c r="G259" i="1" s="1"/>
  <c r="H248" i="1"/>
  <c r="H124" i="1"/>
  <c r="H125" i="1" s="1"/>
  <c r="H127" i="1" s="1"/>
  <c r="V92" i="1"/>
  <c r="U110" i="1"/>
  <c r="U95" i="1"/>
  <c r="T47" i="1"/>
  <c r="S52" i="1"/>
  <c r="N318" i="1"/>
  <c r="N104" i="1"/>
  <c r="N194" i="1"/>
  <c r="N213" i="1" s="1"/>
  <c r="M105" i="1"/>
  <c r="M330" i="1"/>
  <c r="H353" i="1"/>
  <c r="H356" i="1" s="1"/>
  <c r="H352" i="1"/>
  <c r="H355" i="1" s="1"/>
  <c r="H357" i="1" s="1"/>
  <c r="S36" i="1"/>
  <c r="T31" i="1"/>
  <c r="S30" i="1"/>
  <c r="G129" i="1"/>
  <c r="G132" i="1" s="1"/>
  <c r="G130" i="1"/>
  <c r="G133" i="1" s="1"/>
  <c r="I325" i="1"/>
  <c r="I276" i="1"/>
  <c r="I97" i="1"/>
  <c r="I143" i="1"/>
  <c r="R40" i="1"/>
  <c r="R43" i="1" s="1"/>
  <c r="R55" i="1" s="1"/>
  <c r="R81" i="1" s="1"/>
  <c r="S64" i="1"/>
  <c r="V61" i="1"/>
  <c r="G32" i="19" l="1"/>
  <c r="V37" i="1"/>
  <c r="V41" i="1" s="1"/>
  <c r="W32" i="1"/>
  <c r="G69" i="19"/>
  <c r="G70" i="19" s="1"/>
  <c r="G77" i="19"/>
  <c r="G67" i="19"/>
  <c r="G58" i="19"/>
  <c r="H53" i="19" s="1"/>
  <c r="H56" i="19" s="1"/>
  <c r="H22" i="19" s="1"/>
  <c r="G22" i="19"/>
  <c r="G91" i="19"/>
  <c r="G90" i="19"/>
  <c r="I47" i="19"/>
  <c r="I64" i="19" s="1"/>
  <c r="I347" i="1"/>
  <c r="H126" i="1"/>
  <c r="I123" i="1" s="1"/>
  <c r="I124" i="1" s="1"/>
  <c r="I324" i="1"/>
  <c r="I275" i="1"/>
  <c r="I99" i="1"/>
  <c r="F16" i="7"/>
  <c r="G145" i="1"/>
  <c r="G135" i="1"/>
  <c r="G134" i="1"/>
  <c r="N105" i="1"/>
  <c r="N330" i="1"/>
  <c r="V38" i="1"/>
  <c r="V42" i="1" s="1"/>
  <c r="W33" i="1"/>
  <c r="W92" i="1"/>
  <c r="V95" i="1"/>
  <c r="V110" i="1"/>
  <c r="O87" i="1"/>
  <c r="O104" i="1" s="1"/>
  <c r="T30" i="1"/>
  <c r="T36" i="1"/>
  <c r="U31" i="1"/>
  <c r="Q71" i="1"/>
  <c r="P82" i="1"/>
  <c r="P85" i="1" s="1"/>
  <c r="S40" i="1"/>
  <c r="S43" i="1" s="1"/>
  <c r="S55" i="1" s="1"/>
  <c r="S81" i="1" s="1"/>
  <c r="H249" i="1"/>
  <c r="H250" i="1" s="1"/>
  <c r="H252" i="1" s="1"/>
  <c r="U47" i="1"/>
  <c r="T52" i="1"/>
  <c r="T115" i="1"/>
  <c r="U93" i="1"/>
  <c r="U113" i="1" s="1"/>
  <c r="H129" i="1"/>
  <c r="H132" i="1" s="1"/>
  <c r="H130" i="1"/>
  <c r="H133" i="1" s="1"/>
  <c r="T93" i="1"/>
  <c r="T113" i="1" s="1"/>
  <c r="W61" i="1"/>
  <c r="T64" i="1"/>
  <c r="H28" i="1" l="1"/>
  <c r="I28" i="1" s="1"/>
  <c r="H32" i="19"/>
  <c r="X32" i="1"/>
  <c r="W37" i="1"/>
  <c r="W41" i="1" s="1"/>
  <c r="G78" i="19"/>
  <c r="G82" i="19" s="1"/>
  <c r="G92" i="19" s="1"/>
  <c r="H55" i="19"/>
  <c r="H57" i="19" s="1"/>
  <c r="H59" i="19" s="1"/>
  <c r="H251" i="1"/>
  <c r="F17" i="7"/>
  <c r="F45" i="8" s="1"/>
  <c r="F44" i="8" s="1"/>
  <c r="G136" i="1"/>
  <c r="U115" i="1"/>
  <c r="H254" i="1"/>
  <c r="H257" i="1" s="1"/>
  <c r="H259" i="1" s="1"/>
  <c r="H255" i="1"/>
  <c r="H258" i="1" s="1"/>
  <c r="D176" i="1" s="1"/>
  <c r="E27" i="1" s="1"/>
  <c r="O318" i="1"/>
  <c r="O338" i="1" s="1"/>
  <c r="O194" i="1"/>
  <c r="T40" i="1"/>
  <c r="T43" i="1" s="1"/>
  <c r="T55" i="1" s="1"/>
  <c r="T81" i="1" s="1"/>
  <c r="I277" i="1"/>
  <c r="J94" i="1"/>
  <c r="J95" i="1" s="1"/>
  <c r="I326" i="1"/>
  <c r="P87" i="1"/>
  <c r="W95" i="1"/>
  <c r="W110" i="1"/>
  <c r="X92" i="1"/>
  <c r="H135" i="1"/>
  <c r="H136" i="1" s="1"/>
  <c r="H134" i="1"/>
  <c r="G16" i="7"/>
  <c r="G17" i="7" s="1"/>
  <c r="G45" i="8" s="1"/>
  <c r="G44" i="8" s="1"/>
  <c r="H145" i="1"/>
  <c r="V47" i="1"/>
  <c r="U52" i="1"/>
  <c r="R71" i="1"/>
  <c r="Q82" i="1"/>
  <c r="Q85" i="1" s="1"/>
  <c r="U30" i="1"/>
  <c r="U36" i="1"/>
  <c r="V31" i="1"/>
  <c r="X33" i="1"/>
  <c r="W38" i="1"/>
  <c r="W42" i="1" s="1"/>
  <c r="U64" i="1"/>
  <c r="X61" i="1"/>
  <c r="J273" i="1" l="1"/>
  <c r="I93" i="1"/>
  <c r="I115" i="1"/>
  <c r="J322" i="1"/>
  <c r="H58" i="19"/>
  <c r="I53" i="19" s="1"/>
  <c r="I56" i="19" s="1"/>
  <c r="Y32" i="1"/>
  <c r="X37" i="1"/>
  <c r="X41" i="1" s="1"/>
  <c r="G80" i="19"/>
  <c r="G83" i="19"/>
  <c r="G84" i="19" s="1"/>
  <c r="G85" i="19" s="1"/>
  <c r="G93" i="19" s="1"/>
  <c r="G79" i="19"/>
  <c r="H74" i="19" s="1"/>
  <c r="H75" i="19" s="1"/>
  <c r="H65" i="19"/>
  <c r="H60" i="19"/>
  <c r="E262" i="1"/>
  <c r="D174" i="1" s="1"/>
  <c r="E25" i="1" s="1"/>
  <c r="E263" i="1"/>
  <c r="D175" i="1" s="1"/>
  <c r="E26" i="1" s="1"/>
  <c r="E261" i="1"/>
  <c r="D173" i="1" s="1"/>
  <c r="E24" i="1" s="1"/>
  <c r="Q87" i="1"/>
  <c r="O212" i="1"/>
  <c r="O213" i="1" s="1"/>
  <c r="E214" i="1" s="1"/>
  <c r="F171" i="1" s="1"/>
  <c r="G22" i="1" s="1"/>
  <c r="W47" i="1"/>
  <c r="V52" i="1"/>
  <c r="X95" i="1"/>
  <c r="Y92" i="1"/>
  <c r="X110" i="1"/>
  <c r="Y33" i="1"/>
  <c r="X38" i="1"/>
  <c r="X42" i="1" s="1"/>
  <c r="S71" i="1"/>
  <c r="R82" i="1"/>
  <c r="R85" i="1" s="1"/>
  <c r="V115" i="1"/>
  <c r="J321" i="1"/>
  <c r="J272" i="1"/>
  <c r="J98" i="1"/>
  <c r="V93" i="1"/>
  <c r="V113" i="1" s="1"/>
  <c r="U40" i="1"/>
  <c r="U43" i="1" s="1"/>
  <c r="U55" i="1" s="1"/>
  <c r="U81" i="1" s="1"/>
  <c r="P46" i="19"/>
  <c r="O105" i="1"/>
  <c r="P42" i="19"/>
  <c r="P43" i="19" s="1"/>
  <c r="P45" i="19"/>
  <c r="O330" i="1"/>
  <c r="V36" i="1"/>
  <c r="V30" i="1"/>
  <c r="W31" i="1"/>
  <c r="P104" i="1"/>
  <c r="P105" i="1" s="1"/>
  <c r="Y61" i="1"/>
  <c r="V64" i="1"/>
  <c r="H13" i="7" l="1"/>
  <c r="H14" i="7" s="1"/>
  <c r="I288" i="1"/>
  <c r="I291" i="1" s="1"/>
  <c r="I299" i="1" s="1"/>
  <c r="I337" i="1"/>
  <c r="I340" i="1" s="1"/>
  <c r="I348" i="1" s="1"/>
  <c r="W93" i="1"/>
  <c r="W113" i="1" s="1"/>
  <c r="I55" i="19"/>
  <c r="I57" i="19" s="1"/>
  <c r="I58" i="19" s="1"/>
  <c r="J53" i="19" s="1"/>
  <c r="G97" i="19"/>
  <c r="G94" i="19"/>
  <c r="H89" i="19" s="1"/>
  <c r="G95" i="19"/>
  <c r="H69" i="19"/>
  <c r="H70" i="19" s="1"/>
  <c r="I22" i="19"/>
  <c r="I32" i="19"/>
  <c r="Y37" i="1"/>
  <c r="Y41" i="1" s="1"/>
  <c r="Z32" i="1"/>
  <c r="G28" i="1"/>
  <c r="H81" i="19"/>
  <c r="H76" i="19"/>
  <c r="H54" i="19"/>
  <c r="H77" i="19"/>
  <c r="H66" i="19"/>
  <c r="I62" i="19" s="1"/>
  <c r="I63" i="19" s="1"/>
  <c r="H67" i="19"/>
  <c r="T71" i="1"/>
  <c r="S82" i="1"/>
  <c r="S85" i="1" s="1"/>
  <c r="V40" i="1"/>
  <c r="V43" i="1" s="1"/>
  <c r="V55" i="1" s="1"/>
  <c r="V81" i="1" s="1"/>
  <c r="X47" i="1"/>
  <c r="W52" i="1"/>
  <c r="Z33" i="1"/>
  <c r="Y38" i="1"/>
  <c r="Y42" i="1" s="1"/>
  <c r="Y110" i="1"/>
  <c r="Z92" i="1"/>
  <c r="Y95" i="1"/>
  <c r="W30" i="1"/>
  <c r="W36" i="1"/>
  <c r="X31" i="1"/>
  <c r="J276" i="1"/>
  <c r="J325" i="1"/>
  <c r="J143" i="1"/>
  <c r="R87" i="1"/>
  <c r="W115" i="1"/>
  <c r="Q104" i="1"/>
  <c r="Q105" i="1" s="1"/>
  <c r="W64" i="1"/>
  <c r="Z61" i="1"/>
  <c r="I350" i="1" l="1"/>
  <c r="I349" i="1"/>
  <c r="J346" i="1" s="1"/>
  <c r="J347" i="1" s="1"/>
  <c r="I301" i="1"/>
  <c r="I300" i="1"/>
  <c r="J297" i="1" s="1"/>
  <c r="J298" i="1" s="1"/>
  <c r="X93" i="1"/>
  <c r="X113" i="1" s="1"/>
  <c r="I60" i="19"/>
  <c r="I77" i="19" s="1"/>
  <c r="H78" i="19"/>
  <c r="H79" i="19" s="1"/>
  <c r="I74" i="19" s="1"/>
  <c r="I75" i="19" s="1"/>
  <c r="I65" i="19"/>
  <c r="I67" i="19" s="1"/>
  <c r="J55" i="19"/>
  <c r="I59" i="19"/>
  <c r="H90" i="19"/>
  <c r="H91" i="19"/>
  <c r="H96" i="19"/>
  <c r="G98" i="19"/>
  <c r="G99" i="19" s="1"/>
  <c r="G100" i="19" s="1"/>
  <c r="G104" i="19" s="1"/>
  <c r="G21" i="19" s="1"/>
  <c r="AA32" i="1"/>
  <c r="Z37" i="1"/>
  <c r="Z41" i="1" s="1"/>
  <c r="S87" i="1"/>
  <c r="Y47" i="1"/>
  <c r="X52" i="1"/>
  <c r="U71" i="1"/>
  <c r="T82" i="1"/>
  <c r="T85" i="1" s="1"/>
  <c r="R104" i="1"/>
  <c r="R105" i="1" s="1"/>
  <c r="Z95" i="1"/>
  <c r="Z110" i="1"/>
  <c r="AA92" i="1"/>
  <c r="W40" i="1"/>
  <c r="W43" i="1" s="1"/>
  <c r="W55" i="1" s="1"/>
  <c r="W81" i="1" s="1"/>
  <c r="X30" i="1"/>
  <c r="X36" i="1"/>
  <c r="Y31" i="1"/>
  <c r="X115" i="1"/>
  <c r="Z38" i="1"/>
  <c r="Z42" i="1" s="1"/>
  <c r="AA33" i="1"/>
  <c r="X64" i="1"/>
  <c r="AA61" i="1"/>
  <c r="I54" i="19" l="1"/>
  <c r="H82" i="19"/>
  <c r="H83" i="19" s="1"/>
  <c r="H84" i="19" s="1"/>
  <c r="H85" i="19" s="1"/>
  <c r="I303" i="1"/>
  <c r="I306" i="1" s="1"/>
  <c r="I308" i="1" s="1"/>
  <c r="I304" i="1"/>
  <c r="I307" i="1" s="1"/>
  <c r="Y93" i="1"/>
  <c r="Y113" i="1" s="1"/>
  <c r="H80" i="19"/>
  <c r="I352" i="1"/>
  <c r="I355" i="1" s="1"/>
  <c r="I357" i="1" s="1"/>
  <c r="I353" i="1"/>
  <c r="I356" i="1" s="1"/>
  <c r="I66" i="19"/>
  <c r="J62" i="19" s="1"/>
  <c r="J63" i="19" s="1"/>
  <c r="I81" i="19"/>
  <c r="I69" i="19"/>
  <c r="I70" i="19" s="1"/>
  <c r="I78" i="19" s="1"/>
  <c r="I82" i="19" s="1"/>
  <c r="I76" i="19"/>
  <c r="G29" i="19"/>
  <c r="G24" i="19"/>
  <c r="G105" i="19"/>
  <c r="G28" i="19" s="1"/>
  <c r="G34" i="19" s="1"/>
  <c r="AB32" i="1"/>
  <c r="AA37" i="1"/>
  <c r="AA41" i="1" s="1"/>
  <c r="AB33" i="1"/>
  <c r="AA38" i="1"/>
  <c r="AA42" i="1" s="1"/>
  <c r="Y36" i="1"/>
  <c r="Z31" i="1"/>
  <c r="Y30" i="1"/>
  <c r="S104" i="1"/>
  <c r="S105" i="1" s="1"/>
  <c r="AA95" i="1"/>
  <c r="AA110" i="1"/>
  <c r="AB92" i="1"/>
  <c r="Z47" i="1"/>
  <c r="Y52" i="1"/>
  <c r="X40" i="1"/>
  <c r="X43" i="1" s="1"/>
  <c r="X55" i="1" s="1"/>
  <c r="X81" i="1" s="1"/>
  <c r="T87" i="1"/>
  <c r="Y115" i="1"/>
  <c r="V71" i="1"/>
  <c r="U82" i="1"/>
  <c r="U85" i="1" s="1"/>
  <c r="AB61" i="1"/>
  <c r="Y64" i="1"/>
  <c r="H92" i="19" l="1"/>
  <c r="H93" i="19" s="1"/>
  <c r="H97" i="19" s="1"/>
  <c r="Z93" i="1"/>
  <c r="Z113" i="1" s="1"/>
  <c r="G106" i="19"/>
  <c r="G107" i="19" s="1"/>
  <c r="G30" i="19"/>
  <c r="AC32" i="1"/>
  <c r="AB37" i="1"/>
  <c r="AB41" i="1" s="1"/>
  <c r="I83" i="19"/>
  <c r="I84" i="19" s="1"/>
  <c r="I85" i="19" s="1"/>
  <c r="I79" i="19"/>
  <c r="J74" i="19" s="1"/>
  <c r="I80" i="19"/>
  <c r="W71" i="1"/>
  <c r="V82" i="1"/>
  <c r="V85" i="1" s="1"/>
  <c r="AB95" i="1"/>
  <c r="AA93" i="1" s="1"/>
  <c r="AA113" i="1" s="1"/>
  <c r="AC92" i="1"/>
  <c r="AB110" i="1"/>
  <c r="T104" i="1"/>
  <c r="T105" i="1" s="1"/>
  <c r="U87" i="1"/>
  <c r="AA47" i="1"/>
  <c r="Z52" i="1"/>
  <c r="Z115" i="1"/>
  <c r="Z36" i="1"/>
  <c r="Z30" i="1"/>
  <c r="AA31" i="1"/>
  <c r="AB38" i="1"/>
  <c r="AB42" i="1" s="1"/>
  <c r="AC33" i="1"/>
  <c r="Y40" i="1"/>
  <c r="Y43" i="1" s="1"/>
  <c r="Y55" i="1" s="1"/>
  <c r="Y81" i="1" s="1"/>
  <c r="Z64" i="1"/>
  <c r="AC61" i="1"/>
  <c r="H95" i="19" l="1"/>
  <c r="H98" i="19"/>
  <c r="H99" i="19" s="1"/>
  <c r="H100" i="19" s="1"/>
  <c r="H104" i="19" s="1"/>
  <c r="H21" i="19" s="1"/>
  <c r="H94" i="19"/>
  <c r="I89" i="19" s="1"/>
  <c r="AD32" i="1"/>
  <c r="AC37" i="1"/>
  <c r="AC41" i="1" s="1"/>
  <c r="J81" i="19"/>
  <c r="J75" i="19"/>
  <c r="AA30" i="1"/>
  <c r="AB31" i="1"/>
  <c r="AA36" i="1"/>
  <c r="AC110" i="1"/>
  <c r="AC95" i="1"/>
  <c r="AD92" i="1"/>
  <c r="U104" i="1"/>
  <c r="U105" i="1" s="1"/>
  <c r="AA115" i="1"/>
  <c r="AC38" i="1"/>
  <c r="AC42" i="1" s="1"/>
  <c r="AD33" i="1"/>
  <c r="Z40" i="1"/>
  <c r="Z43" i="1" s="1"/>
  <c r="Z55" i="1" s="1"/>
  <c r="Z81" i="1" s="1"/>
  <c r="V87" i="1"/>
  <c r="AB47" i="1"/>
  <c r="AA52" i="1"/>
  <c r="X71" i="1"/>
  <c r="W82" i="1"/>
  <c r="W85" i="1" s="1"/>
  <c r="AD61" i="1"/>
  <c r="AA64" i="1"/>
  <c r="H29" i="19" l="1"/>
  <c r="H24" i="19"/>
  <c r="H105" i="19"/>
  <c r="H28" i="19" s="1"/>
  <c r="H34" i="19" s="1"/>
  <c r="I90" i="19"/>
  <c r="I91" i="19"/>
  <c r="I96" i="19"/>
  <c r="I92" i="19"/>
  <c r="AD37" i="1"/>
  <c r="AD41" i="1" s="1"/>
  <c r="AE32" i="1"/>
  <c r="AC47" i="1"/>
  <c r="AB52" i="1"/>
  <c r="AD38" i="1"/>
  <c r="AD42" i="1" s="1"/>
  <c r="AE33" i="1"/>
  <c r="AB115" i="1"/>
  <c r="W87" i="1"/>
  <c r="AA40" i="1"/>
  <c r="AA43" i="1" s="1"/>
  <c r="AA55" i="1" s="1"/>
  <c r="AA81" i="1" s="1"/>
  <c r="Y71" i="1"/>
  <c r="X82" i="1"/>
  <c r="X85" i="1" s="1"/>
  <c r="V104" i="1"/>
  <c r="V105" i="1" s="1"/>
  <c r="AB30" i="1"/>
  <c r="AC31" i="1"/>
  <c r="AB36" i="1"/>
  <c r="AB93" i="1"/>
  <c r="AB113" i="1" s="1"/>
  <c r="AD110" i="1"/>
  <c r="AD95" i="1"/>
  <c r="AE92" i="1"/>
  <c r="AB64" i="1"/>
  <c r="AE61" i="1"/>
  <c r="H106" i="19" l="1"/>
  <c r="H107" i="19" s="1"/>
  <c r="I93" i="19"/>
  <c r="I97" i="19" s="1"/>
  <c r="I98" i="19" s="1"/>
  <c r="I99" i="19" s="1"/>
  <c r="I100" i="19" s="1"/>
  <c r="I104" i="19" s="1"/>
  <c r="I105" i="19" s="1"/>
  <c r="I28" i="19" s="1"/>
  <c r="H30" i="19"/>
  <c r="AE37" i="1"/>
  <c r="AE41" i="1" s="1"/>
  <c r="AF32" i="1"/>
  <c r="AB40" i="1"/>
  <c r="AB43" i="1" s="1"/>
  <c r="AB55" i="1" s="1"/>
  <c r="AB81" i="1" s="1"/>
  <c r="Z71" i="1"/>
  <c r="Y82" i="1"/>
  <c r="Y85" i="1" s="1"/>
  <c r="AC36" i="1"/>
  <c r="AC30" i="1"/>
  <c r="AD31" i="1"/>
  <c r="AF33" i="1"/>
  <c r="AE38" i="1"/>
  <c r="AE42" i="1" s="1"/>
  <c r="AE110" i="1"/>
  <c r="AF92" i="1"/>
  <c r="AE95" i="1"/>
  <c r="AC115" i="1"/>
  <c r="X87" i="1"/>
  <c r="W104" i="1"/>
  <c r="W105" i="1" s="1"/>
  <c r="AC93" i="1"/>
  <c r="AC113" i="1" s="1"/>
  <c r="AD47" i="1"/>
  <c r="AC52" i="1"/>
  <c r="AF61" i="1"/>
  <c r="AC64" i="1"/>
  <c r="I21" i="19" l="1"/>
  <c r="I29" i="19" s="1"/>
  <c r="I30" i="19" s="1"/>
  <c r="I94" i="19"/>
  <c r="I95" i="19"/>
  <c r="AG32" i="1"/>
  <c r="AF37" i="1"/>
  <c r="AF41" i="1" s="1"/>
  <c r="I106" i="19"/>
  <c r="I107" i="19" s="1"/>
  <c r="I34" i="19"/>
  <c r="AC40" i="1"/>
  <c r="AC43" i="1" s="1"/>
  <c r="AC55" i="1" s="1"/>
  <c r="AC81" i="1" s="1"/>
  <c r="Y87" i="1"/>
  <c r="X104" i="1"/>
  <c r="X105" i="1" s="1"/>
  <c r="AD115" i="1"/>
  <c r="AG33" i="1"/>
  <c r="AF38" i="1"/>
  <c r="AF42" i="1" s="1"/>
  <c r="AA71" i="1"/>
  <c r="Z82" i="1"/>
  <c r="Z85" i="1" s="1"/>
  <c r="AE47" i="1"/>
  <c r="AD52" i="1"/>
  <c r="AD93" i="1"/>
  <c r="AD113" i="1" s="1"/>
  <c r="AF95" i="1"/>
  <c r="AG92" i="1"/>
  <c r="AF110" i="1"/>
  <c r="AD30" i="1"/>
  <c r="AD36" i="1"/>
  <c r="AE31" i="1"/>
  <c r="AG61" i="1"/>
  <c r="AD64" i="1"/>
  <c r="I24" i="19" l="1"/>
  <c r="AH32" i="1"/>
  <c r="AG37" i="1"/>
  <c r="AG41" i="1" s="1"/>
  <c r="AE115" i="1"/>
  <c r="AB71" i="1"/>
  <c r="AA82" i="1"/>
  <c r="AA85" i="1" s="1"/>
  <c r="AE36" i="1"/>
  <c r="AE30" i="1"/>
  <c r="AF31" i="1"/>
  <c r="AF47" i="1"/>
  <c r="AE52" i="1"/>
  <c r="AD40" i="1"/>
  <c r="AD43" i="1" s="1"/>
  <c r="AD55" i="1" s="1"/>
  <c r="AD81" i="1" s="1"/>
  <c r="AH33" i="1"/>
  <c r="AI33" i="1" s="1"/>
  <c r="AG38" i="1"/>
  <c r="AG42" i="1" s="1"/>
  <c r="AG110" i="1"/>
  <c r="AH92" i="1"/>
  <c r="AI92" i="1" s="1"/>
  <c r="AG95" i="1"/>
  <c r="Z87" i="1"/>
  <c r="AE93" i="1"/>
  <c r="AE113" i="1" s="1"/>
  <c r="Y104" i="1"/>
  <c r="Y105" i="1" s="1"/>
  <c r="AE64" i="1"/>
  <c r="AH61" i="1"/>
  <c r="AI61" i="1" s="1"/>
  <c r="AI95" i="1" l="1"/>
  <c r="AJ92" i="1"/>
  <c r="AI110" i="1"/>
  <c r="AJ33" i="1"/>
  <c r="AJ38" i="1" s="1"/>
  <c r="AJ42" i="1" s="1"/>
  <c r="AI38" i="1"/>
  <c r="AI42" i="1" s="1"/>
  <c r="AI32" i="1"/>
  <c r="AH37" i="1"/>
  <c r="AH41" i="1" s="1"/>
  <c r="AJ61" i="1"/>
  <c r="AA87" i="1"/>
  <c r="AE40" i="1"/>
  <c r="AE43" i="1" s="1"/>
  <c r="AE55" i="1" s="1"/>
  <c r="AE81" i="1" s="1"/>
  <c r="Z104" i="1"/>
  <c r="Z105" i="1" s="1"/>
  <c r="AF36" i="1"/>
  <c r="AG31" i="1"/>
  <c r="AF30" i="1"/>
  <c r="AH110" i="1"/>
  <c r="AH95" i="1"/>
  <c r="AG47" i="1"/>
  <c r="AF52" i="1"/>
  <c r="AC71" i="1"/>
  <c r="AB82" i="1"/>
  <c r="AB85" i="1" s="1"/>
  <c r="AF115" i="1"/>
  <c r="AH38" i="1"/>
  <c r="AH42" i="1" s="1"/>
  <c r="AF93" i="1"/>
  <c r="AF113" i="1" s="1"/>
  <c r="AF64" i="1"/>
  <c r="AG93" i="1" l="1"/>
  <c r="AG113" i="1" s="1"/>
  <c r="AI93" i="1"/>
  <c r="AI113" i="1" s="1"/>
  <c r="AI37" i="1"/>
  <c r="AI41" i="1" s="1"/>
  <c r="AJ32" i="1"/>
  <c r="AJ37" i="1" s="1"/>
  <c r="AJ41" i="1" s="1"/>
  <c r="AJ95" i="1"/>
  <c r="AH115" i="1" s="1"/>
  <c r="AJ110" i="1"/>
  <c r="AH47" i="1"/>
  <c r="AI47" i="1" s="1"/>
  <c r="AG52" i="1"/>
  <c r="AG36" i="1"/>
  <c r="AH31" i="1"/>
  <c r="AI31" i="1" s="1"/>
  <c r="AG30" i="1"/>
  <c r="AB87" i="1"/>
  <c r="AD71" i="1"/>
  <c r="AC82" i="1"/>
  <c r="AC85" i="1" s="1"/>
  <c r="AG115" i="1"/>
  <c r="AF40" i="1"/>
  <c r="AF43" i="1" s="1"/>
  <c r="AF55" i="1" s="1"/>
  <c r="AF81" i="1" s="1"/>
  <c r="AA104" i="1"/>
  <c r="AA105" i="1" s="1"/>
  <c r="AG64" i="1"/>
  <c r="AJ93" i="1" l="1"/>
  <c r="AJ113" i="1" s="1"/>
  <c r="AH93" i="1"/>
  <c r="AH113" i="1" s="1"/>
  <c r="AJ31" i="1"/>
  <c r="AI30" i="1"/>
  <c r="AI36" i="1"/>
  <c r="AJ47" i="1"/>
  <c r="AJ52" i="1" s="1"/>
  <c r="AI52" i="1"/>
  <c r="AB104" i="1"/>
  <c r="AB105" i="1" s="1"/>
  <c r="AH30" i="1"/>
  <c r="AH36" i="1"/>
  <c r="AC87" i="1"/>
  <c r="AE71" i="1"/>
  <c r="AD82" i="1"/>
  <c r="AD85" i="1" s="1"/>
  <c r="AG40" i="1"/>
  <c r="AG43" i="1" s="1"/>
  <c r="AG55" i="1" s="1"/>
  <c r="AG81" i="1" s="1"/>
  <c r="AH52" i="1"/>
  <c r="AH64" i="1"/>
  <c r="AI64" i="1" s="1"/>
  <c r="AI40" i="1" l="1"/>
  <c r="AI43" i="1" s="1"/>
  <c r="AI55" i="1" s="1"/>
  <c r="AI81" i="1" s="1"/>
  <c r="AJ30" i="1"/>
  <c r="AJ36" i="1"/>
  <c r="AJ40" i="1" s="1"/>
  <c r="AJ43" i="1" s="1"/>
  <c r="AJ64" i="1"/>
  <c r="AH40" i="1"/>
  <c r="AH43" i="1" s="1"/>
  <c r="AH55" i="1" s="1"/>
  <c r="AH81" i="1" s="1"/>
  <c r="AF71" i="1"/>
  <c r="AE82" i="1"/>
  <c r="AE85" i="1" s="1"/>
  <c r="AC104" i="1"/>
  <c r="AC105" i="1" s="1"/>
  <c r="AD87" i="1"/>
  <c r="AJ55" i="1" l="1"/>
  <c r="AJ81" i="1" s="1"/>
  <c r="AE87" i="1"/>
  <c r="AG71" i="1"/>
  <c r="AF82" i="1"/>
  <c r="AF85" i="1" s="1"/>
  <c r="AD104" i="1"/>
  <c r="AD105" i="1" s="1"/>
  <c r="AH71" i="1" l="1"/>
  <c r="AI71" i="1" s="1"/>
  <c r="AG82" i="1"/>
  <c r="AG85" i="1" s="1"/>
  <c r="AE104" i="1"/>
  <c r="AE105" i="1" s="1"/>
  <c r="AF87" i="1"/>
  <c r="AJ71" i="1" l="1"/>
  <c r="AJ82" i="1" s="1"/>
  <c r="AJ85" i="1" s="1"/>
  <c r="AI82" i="1"/>
  <c r="AI85" i="1" s="1"/>
  <c r="AG87" i="1"/>
  <c r="AH82" i="1"/>
  <c r="AH85" i="1" s="1"/>
  <c r="AF104" i="1"/>
  <c r="AF105" i="1" s="1"/>
  <c r="AI87" i="1" l="1"/>
  <c r="AJ87" i="1"/>
  <c r="AG104" i="1"/>
  <c r="AG105" i="1" s="1"/>
  <c r="AH87" i="1"/>
  <c r="AI104" i="1" l="1"/>
  <c r="AI105" i="1" s="1"/>
  <c r="AJ104" i="1"/>
  <c r="AJ114" i="1" s="1"/>
  <c r="AH104" i="1"/>
  <c r="AH105" i="1" s="1"/>
  <c r="AJ105" i="1" l="1"/>
  <c r="E66" i="22" l="1"/>
  <c r="E50" i="22" l="1"/>
  <c r="E53" i="22"/>
  <c r="E51" i="22"/>
  <c r="E52" i="22"/>
  <c r="E49" i="22" l="1"/>
  <c r="E70" i="22" s="1"/>
  <c r="D70" i="22"/>
  <c r="D71" i="22" l="1"/>
  <c r="D73" i="22"/>
  <c r="E71" i="22"/>
  <c r="E73" i="22"/>
  <c r="J96" i="1" l="1"/>
  <c r="J97" i="1" l="1"/>
  <c r="J323" i="1"/>
  <c r="J101" i="1"/>
  <c r="J106" i="1"/>
  <c r="I9" i="7"/>
  <c r="I11" i="7" s="1"/>
  <c r="J274" i="1"/>
  <c r="J100" i="1"/>
  <c r="J332" i="1" l="1"/>
  <c r="J283" i="1"/>
  <c r="J99" i="1"/>
  <c r="J275" i="1"/>
  <c r="J324" i="1"/>
  <c r="J277" i="1" l="1"/>
  <c r="J290" i="1" s="1"/>
  <c r="J291" i="1" s="1"/>
  <c r="J326" i="1"/>
  <c r="K94" i="1"/>
  <c r="K95" i="1" s="1"/>
  <c r="J115" i="1" s="1"/>
  <c r="J93" i="1" l="1"/>
  <c r="K322" i="1"/>
  <c r="K93" i="1"/>
  <c r="K98" i="1"/>
  <c r="K321" i="1"/>
  <c r="E293" i="1"/>
  <c r="E172" i="1" s="1"/>
  <c r="F23" i="1" s="1"/>
  <c r="J299" i="1"/>
  <c r="K113" i="1" l="1"/>
  <c r="N96" i="1"/>
  <c r="M96" i="1"/>
  <c r="L96" i="1"/>
  <c r="O96" i="1"/>
  <c r="K96" i="1"/>
  <c r="K97" i="1" s="1"/>
  <c r="E50" i="8"/>
  <c r="I113" i="1"/>
  <c r="I117" i="1" s="1"/>
  <c r="J113" i="1"/>
  <c r="J117" i="1" s="1"/>
  <c r="I13" i="7"/>
  <c r="I14" i="7" s="1"/>
  <c r="J337" i="1"/>
  <c r="J340" i="1" s="1"/>
  <c r="J301" i="1"/>
  <c r="J300" i="1"/>
  <c r="K325" i="1"/>
  <c r="K143" i="1"/>
  <c r="J348" i="1" l="1"/>
  <c r="J349" i="1" s="1"/>
  <c r="K346" i="1" s="1"/>
  <c r="M323" i="1"/>
  <c r="M101" i="1"/>
  <c r="M100" i="1"/>
  <c r="M106" i="1"/>
  <c r="K100" i="1"/>
  <c r="K106" i="1"/>
  <c r="J9" i="7"/>
  <c r="J11" i="7" s="1"/>
  <c r="J14" i="7" s="1"/>
  <c r="K323" i="1"/>
  <c r="K101" i="1"/>
  <c r="L106" i="1"/>
  <c r="L323" i="1"/>
  <c r="L100" i="1"/>
  <c r="L101" i="1"/>
  <c r="J118" i="1"/>
  <c r="K39" i="19"/>
  <c r="O323" i="1"/>
  <c r="O100" i="1"/>
  <c r="O106" i="1"/>
  <c r="O101" i="1"/>
  <c r="N323" i="1"/>
  <c r="N100" i="1"/>
  <c r="N106" i="1"/>
  <c r="N101" i="1"/>
  <c r="I125" i="1"/>
  <c r="I126" i="1" s="1"/>
  <c r="J123" i="1" s="1"/>
  <c r="I118" i="1"/>
  <c r="J39" i="19"/>
  <c r="K99" i="1"/>
  <c r="K324" i="1"/>
  <c r="J303" i="1"/>
  <c r="J306" i="1" s="1"/>
  <c r="J308" i="1" s="1"/>
  <c r="J304" i="1"/>
  <c r="J307" i="1" s="1"/>
  <c r="E313" i="1" s="1"/>
  <c r="E176" i="1" s="1"/>
  <c r="F27" i="1" s="1"/>
  <c r="N117" i="1" l="1"/>
  <c r="N332" i="1"/>
  <c r="N340" i="1" s="1"/>
  <c r="O332" i="1"/>
  <c r="I119" i="1"/>
  <c r="J119" i="1"/>
  <c r="L117" i="1"/>
  <c r="L332" i="1"/>
  <c r="L340" i="1" s="1"/>
  <c r="K117" i="1"/>
  <c r="K332" i="1"/>
  <c r="K340" i="1" s="1"/>
  <c r="J124" i="1"/>
  <c r="J125" i="1" s="1"/>
  <c r="J127" i="1" s="1"/>
  <c r="I127" i="1"/>
  <c r="M117" i="1"/>
  <c r="M332" i="1"/>
  <c r="M340" i="1" s="1"/>
  <c r="J350" i="1"/>
  <c r="J19" i="19"/>
  <c r="K19" i="19" s="1"/>
  <c r="J40" i="19"/>
  <c r="J41" i="19"/>
  <c r="J42" i="19" s="1"/>
  <c r="K40" i="19"/>
  <c r="K41" i="19"/>
  <c r="K42" i="19" s="1"/>
  <c r="K347" i="1"/>
  <c r="E310" i="1"/>
  <c r="E173" i="1" s="1"/>
  <c r="F24" i="1" s="1"/>
  <c r="E312" i="1"/>
  <c r="E175" i="1" s="1"/>
  <c r="F26" i="1" s="1"/>
  <c r="E311" i="1"/>
  <c r="E174" i="1" s="1"/>
  <c r="F25" i="1" s="1"/>
  <c r="L94" i="1"/>
  <c r="K326" i="1"/>
  <c r="K348" i="1" l="1"/>
  <c r="K349" i="1" s="1"/>
  <c r="L346" i="1" s="1"/>
  <c r="L347" i="1" s="1"/>
  <c r="L348" i="1" s="1"/>
  <c r="J126" i="1"/>
  <c r="K123" i="1" s="1"/>
  <c r="K124" i="1" s="1"/>
  <c r="K125" i="1" s="1"/>
  <c r="K127" i="1" s="1"/>
  <c r="J45" i="19"/>
  <c r="J46" i="19" s="1"/>
  <c r="J43" i="19"/>
  <c r="L39" i="19"/>
  <c r="K118" i="1"/>
  <c r="K31" i="19"/>
  <c r="N39" i="19"/>
  <c r="M118" i="1"/>
  <c r="J130" i="1"/>
  <c r="J133" i="1" s="1"/>
  <c r="J129" i="1"/>
  <c r="J132" i="1" s="1"/>
  <c r="K45" i="19"/>
  <c r="K46" i="19" s="1"/>
  <c r="K43" i="19"/>
  <c r="J31" i="19"/>
  <c r="I129" i="1"/>
  <c r="I132" i="1" s="1"/>
  <c r="I130" i="1"/>
  <c r="I133" i="1" s="1"/>
  <c r="L118" i="1"/>
  <c r="M39" i="19"/>
  <c r="J352" i="1"/>
  <c r="J355" i="1" s="1"/>
  <c r="J357" i="1" s="1"/>
  <c r="J353" i="1"/>
  <c r="J356" i="1" s="1"/>
  <c r="O39" i="19"/>
  <c r="N118" i="1"/>
  <c r="L98" i="1"/>
  <c r="L321" i="1"/>
  <c r="D139" i="1" l="1"/>
  <c r="K350" i="1"/>
  <c r="K353" i="1" s="1"/>
  <c r="K356" i="1" s="1"/>
  <c r="L349" i="1"/>
  <c r="M346" i="1" s="1"/>
  <c r="M347" i="1" s="1"/>
  <c r="L350" i="1"/>
  <c r="L352" i="1" s="1"/>
  <c r="L355" i="1" s="1"/>
  <c r="L357" i="1" s="1"/>
  <c r="K129" i="1"/>
  <c r="K132" i="1" s="1"/>
  <c r="K130" i="1"/>
  <c r="K133" i="1" s="1"/>
  <c r="K47" i="19"/>
  <c r="K126" i="1"/>
  <c r="L123" i="1" s="1"/>
  <c r="I145" i="1"/>
  <c r="I135" i="1"/>
  <c r="H16" i="7"/>
  <c r="I134" i="1"/>
  <c r="B22" i="7"/>
  <c r="D138" i="1"/>
  <c r="F33" i="8" s="1"/>
  <c r="L40" i="19"/>
  <c r="L41" i="19"/>
  <c r="L42" i="19" s="1"/>
  <c r="L19" i="19"/>
  <c r="O41" i="19"/>
  <c r="O42" i="19" s="1"/>
  <c r="O40" i="19"/>
  <c r="M40" i="19"/>
  <c r="M41" i="19"/>
  <c r="M42" i="19" s="1"/>
  <c r="N41" i="19"/>
  <c r="N42" i="19" s="1"/>
  <c r="N40" i="19"/>
  <c r="J47" i="19"/>
  <c r="J134" i="1"/>
  <c r="I16" i="7"/>
  <c r="I17" i="7" s="1"/>
  <c r="I45" i="8" s="1"/>
  <c r="I44" i="8" s="1"/>
  <c r="J135" i="1"/>
  <c r="J145" i="1"/>
  <c r="N119" i="1"/>
  <c r="M119" i="1"/>
  <c r="L119" i="1"/>
  <c r="K119" i="1"/>
  <c r="L97" i="1"/>
  <c r="L325" i="1"/>
  <c r="L143" i="1"/>
  <c r="K352" i="1" l="1"/>
  <c r="K355" i="1" s="1"/>
  <c r="K357" i="1" s="1"/>
  <c r="L353" i="1"/>
  <c r="L356" i="1" s="1"/>
  <c r="M348" i="1"/>
  <c r="M350" i="1" s="1"/>
  <c r="J64" i="19"/>
  <c r="J56" i="19"/>
  <c r="J32" i="19" s="1"/>
  <c r="J57" i="19"/>
  <c r="J76" i="19"/>
  <c r="L43" i="19"/>
  <c r="L45" i="19"/>
  <c r="L46" i="19" s="1"/>
  <c r="L124" i="1"/>
  <c r="L125" i="1" s="1"/>
  <c r="N43" i="19"/>
  <c r="N45" i="19"/>
  <c r="N46" i="19" s="1"/>
  <c r="M43" i="19"/>
  <c r="M45" i="19"/>
  <c r="M46" i="19" s="1"/>
  <c r="O43" i="19"/>
  <c r="O45" i="19"/>
  <c r="O46" i="19" s="1"/>
  <c r="H17" i="7"/>
  <c r="H45" i="8" s="1"/>
  <c r="H44" i="8" s="1"/>
  <c r="E49" i="8" s="1"/>
  <c r="E51" i="8" s="1"/>
  <c r="E52" i="8" s="1"/>
  <c r="B23" i="7"/>
  <c r="K64" i="19"/>
  <c r="I136" i="1"/>
  <c r="J136" i="1"/>
  <c r="C26" i="1" s="1"/>
  <c r="M19" i="19"/>
  <c r="L31" i="19"/>
  <c r="K134" i="1"/>
  <c r="J16" i="7"/>
  <c r="J17" i="7" s="1"/>
  <c r="K145" i="1"/>
  <c r="K135" i="1"/>
  <c r="K136" i="1" s="1"/>
  <c r="L99" i="1"/>
  <c r="L324" i="1"/>
  <c r="M349" i="1" l="1"/>
  <c r="N346" i="1" s="1"/>
  <c r="N347" i="1" s="1"/>
  <c r="N348" i="1" s="1"/>
  <c r="N350" i="1" s="1"/>
  <c r="M47" i="19"/>
  <c r="M64" i="19" s="1"/>
  <c r="L47" i="19"/>
  <c r="L64" i="19" s="1"/>
  <c r="L127" i="1"/>
  <c r="L126" i="1"/>
  <c r="M123" i="1" s="1"/>
  <c r="J58" i="19"/>
  <c r="K53" i="19" s="1"/>
  <c r="J59" i="19"/>
  <c r="J22" i="19"/>
  <c r="M353" i="1"/>
  <c r="M356" i="1" s="1"/>
  <c r="M352" i="1"/>
  <c r="M355" i="1" s="1"/>
  <c r="M357" i="1" s="1"/>
  <c r="N19" i="19"/>
  <c r="M31" i="19"/>
  <c r="O47" i="19"/>
  <c r="O64" i="19" s="1"/>
  <c r="N47" i="19"/>
  <c r="N64" i="19" s="1"/>
  <c r="J60" i="19"/>
  <c r="J65" i="19"/>
  <c r="L326" i="1"/>
  <c r="M94" i="1"/>
  <c r="N349" i="1" l="1"/>
  <c r="O346" i="1" s="1"/>
  <c r="O347" i="1" s="1"/>
  <c r="J89" i="19"/>
  <c r="J69" i="19"/>
  <c r="J70" i="19" s="1"/>
  <c r="J67" i="19"/>
  <c r="N31" i="19"/>
  <c r="O19" i="19"/>
  <c r="J66" i="19"/>
  <c r="K62" i="19" s="1"/>
  <c r="K63" i="19" s="1"/>
  <c r="J54" i="19"/>
  <c r="J77" i="19"/>
  <c r="M124" i="1"/>
  <c r="M125" i="1" s="1"/>
  <c r="N352" i="1"/>
  <c r="N355" i="1" s="1"/>
  <c r="N357" i="1" s="1"/>
  <c r="N353" i="1"/>
  <c r="N356" i="1" s="1"/>
  <c r="K55" i="19"/>
  <c r="K57" i="19" s="1"/>
  <c r="K56" i="19"/>
  <c r="L130" i="1"/>
  <c r="L133" i="1" s="1"/>
  <c r="L129" i="1"/>
  <c r="L132" i="1" s="1"/>
  <c r="M321" i="1"/>
  <c r="M98" i="1"/>
  <c r="K59" i="19" l="1"/>
  <c r="M127" i="1"/>
  <c r="M126" i="1"/>
  <c r="N123" i="1" s="1"/>
  <c r="K58" i="19"/>
  <c r="L53" i="19" s="1"/>
  <c r="J78" i="19"/>
  <c r="J82" i="19" s="1"/>
  <c r="J92" i="19" s="1"/>
  <c r="O31" i="19"/>
  <c r="K65" i="19"/>
  <c r="K60" i="19"/>
  <c r="L145" i="1"/>
  <c r="L134" i="1"/>
  <c r="L135" i="1"/>
  <c r="L136" i="1" s="1"/>
  <c r="K22" i="19"/>
  <c r="K32" i="19"/>
  <c r="J91" i="19"/>
  <c r="J90" i="19"/>
  <c r="J96" i="19"/>
  <c r="M97" i="1"/>
  <c r="M143" i="1"/>
  <c r="M325" i="1"/>
  <c r="J79" i="19" l="1"/>
  <c r="K74" i="19" s="1"/>
  <c r="K75" i="19" s="1"/>
  <c r="K54" i="19"/>
  <c r="K77" i="19"/>
  <c r="J83" i="19"/>
  <c r="J84" i="19" s="1"/>
  <c r="J85" i="19" s="1"/>
  <c r="J93" i="19" s="1"/>
  <c r="L55" i="19"/>
  <c r="L57" i="19" s="1"/>
  <c r="L56" i="19"/>
  <c r="K66" i="19"/>
  <c r="L62" i="19" s="1"/>
  <c r="K67" i="19"/>
  <c r="K69" i="19"/>
  <c r="K70" i="19" s="1"/>
  <c r="J80" i="19"/>
  <c r="N124" i="1"/>
  <c r="N125" i="1" s="1"/>
  <c r="N127" i="1" s="1"/>
  <c r="M129" i="1"/>
  <c r="M132" i="1" s="1"/>
  <c r="M130" i="1"/>
  <c r="M133" i="1" s="1"/>
  <c r="M324" i="1"/>
  <c r="M99" i="1"/>
  <c r="L59" i="19" l="1"/>
  <c r="K81" i="19"/>
  <c r="K76" i="19"/>
  <c r="N126" i="1"/>
  <c r="O123" i="1" s="1"/>
  <c r="O124" i="1" s="1"/>
  <c r="K78" i="19"/>
  <c r="L63" i="19"/>
  <c r="L32" i="19"/>
  <c r="L22" i="19"/>
  <c r="J97" i="19"/>
  <c r="J95" i="19"/>
  <c r="M145" i="1"/>
  <c r="M134" i="1"/>
  <c r="M135" i="1"/>
  <c r="M136" i="1" s="1"/>
  <c r="L58" i="19"/>
  <c r="M53" i="19" s="1"/>
  <c r="J94" i="19"/>
  <c r="K89" i="19" s="1"/>
  <c r="N129" i="1"/>
  <c r="N132" i="1" s="1"/>
  <c r="N130" i="1"/>
  <c r="N133" i="1" s="1"/>
  <c r="L65" i="19"/>
  <c r="L60" i="19"/>
  <c r="N94" i="1"/>
  <c r="M326" i="1"/>
  <c r="K80" i="19" l="1"/>
  <c r="K79" i="19"/>
  <c r="L74" i="19" s="1"/>
  <c r="L76" i="19" s="1"/>
  <c r="K82" i="19"/>
  <c r="K83" i="19" s="1"/>
  <c r="K84" i="19" s="1"/>
  <c r="K85" i="19" s="1"/>
  <c r="L66" i="19"/>
  <c r="M62" i="19" s="1"/>
  <c r="M63" i="19" s="1"/>
  <c r="J98" i="19"/>
  <c r="J99" i="19" s="1"/>
  <c r="J100" i="19" s="1"/>
  <c r="J104" i="19" s="1"/>
  <c r="J21" i="19" s="1"/>
  <c r="K90" i="19"/>
  <c r="K91" i="19"/>
  <c r="K96" i="19"/>
  <c r="L67" i="19"/>
  <c r="L69" i="19"/>
  <c r="L70" i="19" s="1"/>
  <c r="N134" i="1"/>
  <c r="N135" i="1"/>
  <c r="N136" i="1" s="1"/>
  <c r="N145" i="1"/>
  <c r="M56" i="19"/>
  <c r="M55" i="19"/>
  <c r="M57" i="19" s="1"/>
  <c r="L77" i="19"/>
  <c r="L54" i="19"/>
  <c r="N98" i="1"/>
  <c r="N321" i="1"/>
  <c r="K92" i="19" l="1"/>
  <c r="K93" i="19" s="1"/>
  <c r="K95" i="19" s="1"/>
  <c r="M58" i="19"/>
  <c r="N53" i="19" s="1"/>
  <c r="N55" i="19" s="1"/>
  <c r="N57" i="19" s="1"/>
  <c r="L75" i="19"/>
  <c r="L78" i="19" s="1"/>
  <c r="L82" i="19" s="1"/>
  <c r="L81" i="19"/>
  <c r="J29" i="19"/>
  <c r="J24" i="19"/>
  <c r="M60" i="19"/>
  <c r="M65" i="19"/>
  <c r="J105" i="19"/>
  <c r="J28" i="19" s="1"/>
  <c r="J34" i="19" s="1"/>
  <c r="M22" i="19"/>
  <c r="M32" i="19"/>
  <c r="M59" i="19"/>
  <c r="N325" i="1"/>
  <c r="N97" i="1"/>
  <c r="N143" i="1"/>
  <c r="K97" i="19" l="1"/>
  <c r="K98" i="19" s="1"/>
  <c r="K94" i="19"/>
  <c r="L89" i="19" s="1"/>
  <c r="L91" i="19" s="1"/>
  <c r="N56" i="19"/>
  <c r="N59" i="19" s="1"/>
  <c r="J106" i="19"/>
  <c r="J107" i="19" s="1"/>
  <c r="L79" i="19"/>
  <c r="M74" i="19" s="1"/>
  <c r="M67" i="19"/>
  <c r="M69" i="19"/>
  <c r="M70" i="19" s="1"/>
  <c r="M66" i="19"/>
  <c r="N62" i="19" s="1"/>
  <c r="N63" i="19" s="1"/>
  <c r="L80" i="19"/>
  <c r="M54" i="19"/>
  <c r="M77" i="19"/>
  <c r="N65" i="19"/>
  <c r="N60" i="19"/>
  <c r="J30" i="19"/>
  <c r="L83" i="19"/>
  <c r="N324" i="1"/>
  <c r="N99" i="1"/>
  <c r="L90" i="19" l="1"/>
  <c r="L96" i="19"/>
  <c r="L92" i="19"/>
  <c r="N22" i="19"/>
  <c r="N32" i="19"/>
  <c r="N58" i="19"/>
  <c r="O53" i="19" s="1"/>
  <c r="O56" i="19" s="1"/>
  <c r="K99" i="19"/>
  <c r="K100" i="19" s="1"/>
  <c r="K104" i="19" s="1"/>
  <c r="N77" i="19"/>
  <c r="N54" i="19"/>
  <c r="N66" i="19"/>
  <c r="O62" i="19" s="1"/>
  <c r="N67" i="19"/>
  <c r="N69" i="19"/>
  <c r="N70" i="19" s="1"/>
  <c r="M76" i="19"/>
  <c r="M81" i="19"/>
  <c r="M75" i="19"/>
  <c r="M78" i="19" s="1"/>
  <c r="M82" i="19" s="1"/>
  <c r="M83" i="19" s="1"/>
  <c r="M84" i="19" s="1"/>
  <c r="M85" i="19" s="1"/>
  <c r="L84" i="19"/>
  <c r="L85" i="19" s="1"/>
  <c r="O94" i="1"/>
  <c r="N326" i="1"/>
  <c r="O55" i="19" l="1"/>
  <c r="O57" i="19" s="1"/>
  <c r="O65" i="19" s="1"/>
  <c r="L93" i="19"/>
  <c r="L97" i="19" s="1"/>
  <c r="M80" i="19"/>
  <c r="O63" i="19"/>
  <c r="K105" i="19"/>
  <c r="K21" i="19"/>
  <c r="O32" i="19"/>
  <c r="O22" i="19"/>
  <c r="M79" i="19"/>
  <c r="N74" i="19" s="1"/>
  <c r="O321" i="1"/>
  <c r="O98" i="1"/>
  <c r="O59" i="19" l="1"/>
  <c r="O60" i="19"/>
  <c r="O77" i="19" s="1"/>
  <c r="O58" i="19"/>
  <c r="P53" i="19" s="1"/>
  <c r="P55" i="19" s="1"/>
  <c r="L94" i="19"/>
  <c r="M89" i="19" s="1"/>
  <c r="M92" i="19" s="1"/>
  <c r="L95" i="19"/>
  <c r="O66" i="19"/>
  <c r="P62" i="19" s="1"/>
  <c r="P63" i="19" s="1"/>
  <c r="L98" i="19"/>
  <c r="K29" i="19"/>
  <c r="K24" i="19"/>
  <c r="N75" i="19"/>
  <c r="N78" i="19" s="1"/>
  <c r="N82" i="19" s="1"/>
  <c r="N83" i="19" s="1"/>
  <c r="N84" i="19" s="1"/>
  <c r="N85" i="19" s="1"/>
  <c r="N76" i="19"/>
  <c r="N81" i="19"/>
  <c r="K106" i="19"/>
  <c r="K107" i="19" s="1"/>
  <c r="K28" i="19"/>
  <c r="O67" i="19"/>
  <c r="O325" i="1"/>
  <c r="O97" i="1"/>
  <c r="O143" i="1"/>
  <c r="O69" i="19" l="1"/>
  <c r="O70" i="19" s="1"/>
  <c r="O54" i="19"/>
  <c r="M96" i="19"/>
  <c r="M91" i="19"/>
  <c r="M90" i="19"/>
  <c r="M93" i="19" s="1"/>
  <c r="M97" i="19" s="1"/>
  <c r="M98" i="19" s="1"/>
  <c r="M99" i="19" s="1"/>
  <c r="M100" i="19" s="1"/>
  <c r="M104" i="19" s="1"/>
  <c r="M105" i="19" s="1"/>
  <c r="M28" i="19" s="1"/>
  <c r="K30" i="19"/>
  <c r="K34" i="19"/>
  <c r="L99" i="19"/>
  <c r="L100" i="19" s="1"/>
  <c r="L104" i="19" s="1"/>
  <c r="N79" i="19"/>
  <c r="O74" i="19" s="1"/>
  <c r="N80" i="19"/>
  <c r="O324" i="1"/>
  <c r="O99" i="1"/>
  <c r="M94" i="19" l="1"/>
  <c r="N89" i="19" s="1"/>
  <c r="N91" i="19" s="1"/>
  <c r="M21" i="19"/>
  <c r="M29" i="19" s="1"/>
  <c r="M30" i="19" s="1"/>
  <c r="M95" i="19"/>
  <c r="M106" i="19"/>
  <c r="M107" i="19" s="1"/>
  <c r="L105" i="19"/>
  <c r="L21" i="19"/>
  <c r="M34" i="19"/>
  <c r="O75" i="19"/>
  <c r="O78" i="19" s="1"/>
  <c r="O82" i="19" s="1"/>
  <c r="O83" i="19" s="1"/>
  <c r="O84" i="19" s="1"/>
  <c r="O85" i="19" s="1"/>
  <c r="O81" i="19"/>
  <c r="O76" i="19"/>
  <c r="P94" i="1"/>
  <c r="O326" i="1"/>
  <c r="O339" i="1" s="1"/>
  <c r="M24" i="19" l="1"/>
  <c r="N92" i="19"/>
  <c r="N96" i="19"/>
  <c r="N90" i="19"/>
  <c r="P95" i="1"/>
  <c r="O79" i="19"/>
  <c r="P74" i="19" s="1"/>
  <c r="L24" i="19"/>
  <c r="L29" i="19"/>
  <c r="O80" i="19"/>
  <c r="L106" i="19"/>
  <c r="L107" i="19" s="1"/>
  <c r="L28" i="19"/>
  <c r="N93" i="19" l="1"/>
  <c r="N97" i="19" s="1"/>
  <c r="N98" i="19" s="1"/>
  <c r="N99" i="19" s="1"/>
  <c r="N100" i="19" s="1"/>
  <c r="N104" i="19" s="1"/>
  <c r="O115" i="1"/>
  <c r="O337" i="1" s="1"/>
  <c r="O340" i="1" s="1"/>
  <c r="O93" i="1"/>
  <c r="P93" i="1"/>
  <c r="P98" i="1"/>
  <c r="P143" i="1" s="1"/>
  <c r="P81" i="19"/>
  <c r="P75" i="19"/>
  <c r="L34" i="19"/>
  <c r="L30" i="19"/>
  <c r="N95" i="19" l="1"/>
  <c r="N94" i="19"/>
  <c r="O89" i="19" s="1"/>
  <c r="O92" i="19" s="1"/>
  <c r="P113" i="1"/>
  <c r="V96" i="1"/>
  <c r="AF96" i="1"/>
  <c r="P96" i="1"/>
  <c r="Y96" i="1"/>
  <c r="AI96" i="1"/>
  <c r="R96" i="1"/>
  <c r="AB96" i="1"/>
  <c r="U96" i="1"/>
  <c r="AE96" i="1"/>
  <c r="X96" i="1"/>
  <c r="AH96" i="1"/>
  <c r="W96" i="1"/>
  <c r="Q96" i="1"/>
  <c r="AA96" i="1"/>
  <c r="T96" i="1"/>
  <c r="AD96" i="1"/>
  <c r="AG96" i="1"/>
  <c r="Z96" i="1"/>
  <c r="AJ96" i="1"/>
  <c r="S96" i="1"/>
  <c r="AC96" i="1"/>
  <c r="O113" i="1"/>
  <c r="O117" i="1" s="1"/>
  <c r="E342" i="1"/>
  <c r="F172" i="1" s="1"/>
  <c r="G23" i="1" s="1"/>
  <c r="O348" i="1"/>
  <c r="O349" i="1" s="1"/>
  <c r="N105" i="19"/>
  <c r="N28" i="19" s="1"/>
  <c r="N34" i="19" s="1"/>
  <c r="N21" i="19"/>
  <c r="O90" i="19" l="1"/>
  <c r="O93" i="19" s="1"/>
  <c r="O97" i="19" s="1"/>
  <c r="O98" i="19" s="1"/>
  <c r="O99" i="19" s="1"/>
  <c r="O100" i="19" s="1"/>
  <c r="O104" i="19" s="1"/>
  <c r="O105" i="19" s="1"/>
  <c r="O28" i="19" s="1"/>
  <c r="O96" i="19"/>
  <c r="O91" i="19"/>
  <c r="O350" i="1"/>
  <c r="O352" i="1" s="1"/>
  <c r="O355" i="1" s="1"/>
  <c r="O357" i="1" s="1"/>
  <c r="P39" i="19"/>
  <c r="O118" i="1"/>
  <c r="O125" i="1"/>
  <c r="Z114" i="1"/>
  <c r="Z106" i="1"/>
  <c r="Z100" i="1"/>
  <c r="Z101" i="1"/>
  <c r="AA101" i="1"/>
  <c r="AA106" i="1"/>
  <c r="AA114" i="1"/>
  <c r="AA100" i="1"/>
  <c r="X106" i="1"/>
  <c r="X101" i="1"/>
  <c r="X100" i="1"/>
  <c r="X114" i="1"/>
  <c r="R114" i="1"/>
  <c r="R100" i="1"/>
  <c r="R106" i="1"/>
  <c r="R101" i="1"/>
  <c r="AF114" i="1"/>
  <c r="AF106" i="1"/>
  <c r="AF100" i="1"/>
  <c r="AF101" i="1"/>
  <c r="AC101" i="1"/>
  <c r="AC114" i="1"/>
  <c r="AC106" i="1"/>
  <c r="AC100" i="1"/>
  <c r="AG106" i="1"/>
  <c r="AG114" i="1"/>
  <c r="AG101" i="1"/>
  <c r="AG100" i="1"/>
  <c r="Q100" i="1"/>
  <c r="Q106" i="1"/>
  <c r="Q114" i="1"/>
  <c r="Q101" i="1"/>
  <c r="AE100" i="1"/>
  <c r="AE101" i="1"/>
  <c r="AE114" i="1"/>
  <c r="AE106" i="1"/>
  <c r="AI114" i="1"/>
  <c r="AI100" i="1"/>
  <c r="AI101" i="1"/>
  <c r="AI106" i="1"/>
  <c r="V114" i="1"/>
  <c r="V101" i="1"/>
  <c r="V100" i="1"/>
  <c r="V106" i="1"/>
  <c r="S100" i="1"/>
  <c r="S101" i="1"/>
  <c r="S106" i="1"/>
  <c r="S114" i="1"/>
  <c r="AD100" i="1"/>
  <c r="AD114" i="1"/>
  <c r="AD106" i="1"/>
  <c r="AD101" i="1"/>
  <c r="W114" i="1"/>
  <c r="W106" i="1"/>
  <c r="W101" i="1"/>
  <c r="W100" i="1"/>
  <c r="U106" i="1"/>
  <c r="U101" i="1"/>
  <c r="U100" i="1"/>
  <c r="U114" i="1"/>
  <c r="Y114" i="1"/>
  <c r="Y106" i="1"/>
  <c r="Y101" i="1"/>
  <c r="Y100" i="1"/>
  <c r="AJ100" i="1"/>
  <c r="AJ106" i="1"/>
  <c r="AJ101" i="1"/>
  <c r="T100" i="1"/>
  <c r="T101" i="1"/>
  <c r="T106" i="1"/>
  <c r="T114" i="1"/>
  <c r="AH114" i="1"/>
  <c r="AH101" i="1"/>
  <c r="AH100" i="1"/>
  <c r="AH106" i="1"/>
  <c r="AB106" i="1"/>
  <c r="AB101" i="1"/>
  <c r="AB100" i="1"/>
  <c r="AB114" i="1"/>
  <c r="P114" i="1"/>
  <c r="P100" i="1"/>
  <c r="P106" i="1"/>
  <c r="P101" i="1"/>
  <c r="P97" i="1"/>
  <c r="P99" i="1" s="1"/>
  <c r="Q94" i="1" s="1"/>
  <c r="Q98" i="1" s="1"/>
  <c r="Q143" i="1" s="1"/>
  <c r="N106" i="19"/>
  <c r="N107" i="19" s="1"/>
  <c r="N29" i="19"/>
  <c r="N30" i="19" s="1"/>
  <c r="N24" i="19"/>
  <c r="O94" i="19" l="1"/>
  <c r="O95" i="19"/>
  <c r="O21" i="19"/>
  <c r="O24" i="19" s="1"/>
  <c r="P117" i="1"/>
  <c r="P118" i="1" s="1"/>
  <c r="P119" i="1" s="1"/>
  <c r="W117" i="1"/>
  <c r="W118" i="1" s="1"/>
  <c r="AH117" i="1"/>
  <c r="AH118" i="1" s="1"/>
  <c r="AC117" i="1"/>
  <c r="AC118" i="1" s="1"/>
  <c r="X117" i="1"/>
  <c r="X118" i="1" s="1"/>
  <c r="AA117" i="1"/>
  <c r="AA118" i="1" s="1"/>
  <c r="O353" i="1"/>
  <c r="O356" i="1" s="1"/>
  <c r="E362" i="1" s="1"/>
  <c r="F176" i="1" s="1"/>
  <c r="G27" i="1" s="1"/>
  <c r="T117" i="1"/>
  <c r="T118" i="1" s="1"/>
  <c r="Y117" i="1"/>
  <c r="Y118" i="1" s="1"/>
  <c r="U117" i="1"/>
  <c r="U118" i="1" s="1"/>
  <c r="AF117" i="1"/>
  <c r="AF118" i="1" s="1"/>
  <c r="Z117" i="1"/>
  <c r="Z118" i="1" s="1"/>
  <c r="Q117" i="1"/>
  <c r="AB117" i="1"/>
  <c r="AB118" i="1" s="1"/>
  <c r="V117" i="1"/>
  <c r="AI117" i="1"/>
  <c r="AI118" i="1" s="1"/>
  <c r="AE117" i="1"/>
  <c r="AE118" i="1" s="1"/>
  <c r="Q97" i="1"/>
  <c r="Q99" i="1" s="1"/>
  <c r="R94" i="1" s="1"/>
  <c r="R98" i="1" s="1"/>
  <c r="AG117" i="1"/>
  <c r="AG118" i="1" s="1"/>
  <c r="O127" i="1"/>
  <c r="O126" i="1"/>
  <c r="P123" i="1" s="1"/>
  <c r="AD117" i="1"/>
  <c r="AD118" i="1" s="1"/>
  <c r="S117" i="1"/>
  <c r="E361" i="1"/>
  <c r="F175" i="1" s="1"/>
  <c r="G26" i="1" s="1"/>
  <c r="E359" i="1"/>
  <c r="F173" i="1" s="1"/>
  <c r="G24" i="1" s="1"/>
  <c r="E360" i="1"/>
  <c r="F174" i="1" s="1"/>
  <c r="G25" i="1" s="1"/>
  <c r="R117" i="1"/>
  <c r="O119" i="1"/>
  <c r="P40" i="19"/>
  <c r="P41" i="19"/>
  <c r="P19" i="19"/>
  <c r="O106" i="19"/>
  <c r="O107" i="19" s="1"/>
  <c r="O34" i="19"/>
  <c r="O29" i="19" l="1"/>
  <c r="O30" i="19" s="1"/>
  <c r="P47" i="19"/>
  <c r="L10" i="19" s="1"/>
  <c r="O129" i="1"/>
  <c r="O132" i="1" s="1"/>
  <c r="O130" i="1"/>
  <c r="O133" i="1" s="1"/>
  <c r="V118" i="1"/>
  <c r="P31" i="19"/>
  <c r="D31" i="19" s="1"/>
  <c r="R143" i="1"/>
  <c r="R97" i="1"/>
  <c r="R99" i="1" s="1"/>
  <c r="S94" i="1" s="1"/>
  <c r="S98" i="1" s="1"/>
  <c r="R118" i="1"/>
  <c r="S118" i="1"/>
  <c r="P124" i="1"/>
  <c r="P125" i="1" s="1"/>
  <c r="P127" i="1" s="1"/>
  <c r="Q118" i="1"/>
  <c r="D10" i="19" l="1"/>
  <c r="D8" i="19" s="1"/>
  <c r="F49" i="19"/>
  <c r="F48" i="19"/>
  <c r="P64" i="19"/>
  <c r="P76" i="19"/>
  <c r="P57" i="19"/>
  <c r="P56" i="19"/>
  <c r="P22" i="19" s="1"/>
  <c r="D22" i="19" s="1"/>
  <c r="S97" i="1"/>
  <c r="S99" i="1" s="1"/>
  <c r="T94" i="1" s="1"/>
  <c r="T98" i="1" s="1"/>
  <c r="S143" i="1"/>
  <c r="AI119" i="1"/>
  <c r="W119" i="1"/>
  <c r="S119" i="1"/>
  <c r="AD119" i="1"/>
  <c r="Z119" i="1"/>
  <c r="AH119" i="1"/>
  <c r="V119" i="1"/>
  <c r="AA119" i="1"/>
  <c r="T119" i="1"/>
  <c r="AC119" i="1"/>
  <c r="R119" i="1"/>
  <c r="Y119" i="1"/>
  <c r="X119" i="1"/>
  <c r="Q119" i="1"/>
  <c r="U119" i="1"/>
  <c r="AE119" i="1"/>
  <c r="AB119" i="1"/>
  <c r="AG119" i="1"/>
  <c r="AF119" i="1"/>
  <c r="P126" i="1"/>
  <c r="Q123" i="1" s="1"/>
  <c r="P129" i="1"/>
  <c r="P132" i="1" s="1"/>
  <c r="P130" i="1"/>
  <c r="P133" i="1" s="1"/>
  <c r="O145" i="1"/>
  <c r="O134" i="1"/>
  <c r="O135" i="1"/>
  <c r="O136" i="1" s="1"/>
  <c r="D9" i="19" l="1"/>
  <c r="P32" i="19"/>
  <c r="D32" i="19" s="1"/>
  <c r="P58" i="19"/>
  <c r="P59" i="19"/>
  <c r="E59" i="19" s="1"/>
  <c r="P65" i="19"/>
  <c r="P66" i="19" s="1"/>
  <c r="P60" i="19"/>
  <c r="P54" i="19" s="1"/>
  <c r="F54" i="19" s="1"/>
  <c r="P135" i="1"/>
  <c r="P136" i="1" s="1"/>
  <c r="P145" i="1"/>
  <c r="P134" i="1"/>
  <c r="Q124" i="1"/>
  <c r="Q125" i="1" s="1"/>
  <c r="Q127" i="1" s="1"/>
  <c r="T97" i="1"/>
  <c r="T99" i="1" s="1"/>
  <c r="U94" i="1" s="1"/>
  <c r="U98" i="1" s="1"/>
  <c r="T143" i="1"/>
  <c r="P89" i="19" l="1"/>
  <c r="P96" i="19" s="1"/>
  <c r="P67" i="19"/>
  <c r="E67" i="19" s="1"/>
  <c r="P77" i="19"/>
  <c r="P69" i="19"/>
  <c r="P70" i="19" s="1"/>
  <c r="Q129" i="1"/>
  <c r="Q132" i="1" s="1"/>
  <c r="Q130" i="1"/>
  <c r="Q133" i="1" s="1"/>
  <c r="U143" i="1"/>
  <c r="U97" i="1"/>
  <c r="U99" i="1" s="1"/>
  <c r="V94" i="1" s="1"/>
  <c r="V98" i="1" s="1"/>
  <c r="Q126" i="1"/>
  <c r="R123" i="1" s="1"/>
  <c r="R124" i="1" s="1"/>
  <c r="R125" i="1" s="1"/>
  <c r="P91" i="19" l="1"/>
  <c r="P90" i="19"/>
  <c r="P78" i="19"/>
  <c r="P82" i="19" s="1"/>
  <c r="P83" i="19" s="1"/>
  <c r="P84" i="19" s="1"/>
  <c r="P85" i="19" s="1"/>
  <c r="R126" i="1"/>
  <c r="S123" i="1" s="1"/>
  <c r="R127" i="1"/>
  <c r="V97" i="1"/>
  <c r="V99" i="1" s="1"/>
  <c r="W94" i="1" s="1"/>
  <c r="W98" i="1" s="1"/>
  <c r="V143" i="1"/>
  <c r="Q134" i="1"/>
  <c r="Q135" i="1"/>
  <c r="Q136" i="1" s="1"/>
  <c r="Q145" i="1"/>
  <c r="P80" i="19" l="1"/>
  <c r="E80" i="19" s="1"/>
  <c r="P79" i="19"/>
  <c r="P92" i="19"/>
  <c r="P93" i="19" s="1"/>
  <c r="P97" i="19" s="1"/>
  <c r="P98" i="19" s="1"/>
  <c r="P99" i="19" s="1"/>
  <c r="P100" i="19" s="1"/>
  <c r="P104" i="19" s="1"/>
  <c r="R130" i="1"/>
  <c r="R133" i="1" s="1"/>
  <c r="R129" i="1"/>
  <c r="R132" i="1" s="1"/>
  <c r="S124" i="1"/>
  <c r="S125" i="1" s="1"/>
  <c r="S127" i="1" s="1"/>
  <c r="W97" i="1"/>
  <c r="W99" i="1" s="1"/>
  <c r="X94" i="1" s="1"/>
  <c r="X98" i="1" s="1"/>
  <c r="W143" i="1"/>
  <c r="P95" i="19" l="1"/>
  <c r="E95" i="19" s="1"/>
  <c r="P94" i="19"/>
  <c r="S126" i="1"/>
  <c r="T123" i="1" s="1"/>
  <c r="T124" i="1" s="1"/>
  <c r="T125" i="1" s="1"/>
  <c r="T127" i="1" s="1"/>
  <c r="P105" i="19"/>
  <c r="P28" i="19" s="1"/>
  <c r="P21" i="19"/>
  <c r="S130" i="1"/>
  <c r="S133" i="1" s="1"/>
  <c r="S129" i="1"/>
  <c r="S132" i="1" s="1"/>
  <c r="X97" i="1"/>
  <c r="X99" i="1" s="1"/>
  <c r="Y94" i="1" s="1"/>
  <c r="Y98" i="1" s="1"/>
  <c r="Y97" i="1" s="1"/>
  <c r="Y99" i="1" s="1"/>
  <c r="Z94" i="1" s="1"/>
  <c r="X143" i="1"/>
  <c r="R145" i="1"/>
  <c r="R134" i="1"/>
  <c r="R135" i="1"/>
  <c r="R136" i="1" s="1"/>
  <c r="P106" i="19" l="1"/>
  <c r="P107" i="19" s="1"/>
  <c r="T130" i="1"/>
  <c r="T133" i="1" s="1"/>
  <c r="T129" i="1"/>
  <c r="T132" i="1" s="1"/>
  <c r="Y143" i="1"/>
  <c r="S145" i="1"/>
  <c r="S135" i="1"/>
  <c r="S136" i="1" s="1"/>
  <c r="S134" i="1"/>
  <c r="D21" i="19"/>
  <c r="P24" i="19"/>
  <c r="D24" i="19" s="1"/>
  <c r="P29" i="19"/>
  <c r="P30" i="19" s="1"/>
  <c r="T126" i="1"/>
  <c r="U123" i="1" s="1"/>
  <c r="P34" i="19"/>
  <c r="D34" i="19" s="1"/>
  <c r="D28" i="19"/>
  <c r="Z98" i="1"/>
  <c r="D35" i="19" l="1"/>
  <c r="D33" i="19"/>
  <c r="D25" i="19"/>
  <c r="D23" i="19"/>
  <c r="U124" i="1"/>
  <c r="U125" i="1" s="1"/>
  <c r="U127" i="1" s="1"/>
  <c r="T145" i="1"/>
  <c r="T135" i="1"/>
  <c r="T136" i="1" s="1"/>
  <c r="T134" i="1"/>
  <c r="Z97" i="1"/>
  <c r="Z99" i="1" s="1"/>
  <c r="AA94" i="1" s="1"/>
  <c r="Z143" i="1"/>
  <c r="U126" i="1" l="1"/>
  <c r="V123" i="1" s="1"/>
  <c r="V124" i="1" s="1"/>
  <c r="V125" i="1" s="1"/>
  <c r="V127" i="1" s="1"/>
  <c r="U130" i="1"/>
  <c r="U133" i="1" s="1"/>
  <c r="U129" i="1"/>
  <c r="U132" i="1" s="1"/>
  <c r="L9" i="19"/>
  <c r="L8" i="19" s="1"/>
  <c r="AA98" i="1"/>
  <c r="U145" i="1" l="1"/>
  <c r="U135" i="1"/>
  <c r="U136" i="1" s="1"/>
  <c r="U134" i="1"/>
  <c r="V126" i="1"/>
  <c r="W123" i="1" s="1"/>
  <c r="W124" i="1" s="1"/>
  <c r="W125" i="1" s="1"/>
  <c r="V129" i="1"/>
  <c r="V132" i="1" s="1"/>
  <c r="V130" i="1"/>
  <c r="V133" i="1" s="1"/>
  <c r="AA97" i="1"/>
  <c r="AA99" i="1" s="1"/>
  <c r="AB94" i="1" s="1"/>
  <c r="AA143" i="1"/>
  <c r="W126" i="1" l="1"/>
  <c r="X123" i="1" s="1"/>
  <c r="W127" i="1"/>
  <c r="V135" i="1"/>
  <c r="V136" i="1" s="1"/>
  <c r="V145" i="1"/>
  <c r="V134" i="1"/>
  <c r="AB98" i="1"/>
  <c r="W130" i="1" l="1"/>
  <c r="W133" i="1" s="1"/>
  <c r="W129" i="1"/>
  <c r="W132" i="1" s="1"/>
  <c r="X124" i="1"/>
  <c r="AB97" i="1"/>
  <c r="AB99" i="1" s="1"/>
  <c r="AC94" i="1" s="1"/>
  <c r="AB143" i="1"/>
  <c r="X125" i="1" l="1"/>
  <c r="X127" i="1" s="1"/>
  <c r="W134" i="1"/>
  <c r="W135" i="1"/>
  <c r="W136" i="1" s="1"/>
  <c r="W145" i="1"/>
  <c r="AC98" i="1"/>
  <c r="X130" i="1" l="1"/>
  <c r="X133" i="1" s="1"/>
  <c r="X129" i="1"/>
  <c r="X132" i="1" s="1"/>
  <c r="X126" i="1"/>
  <c r="Y123" i="1" s="1"/>
  <c r="AC97" i="1"/>
  <c r="AC99" i="1" s="1"/>
  <c r="AD94" i="1" s="1"/>
  <c r="AC143" i="1"/>
  <c r="Y124" i="1" l="1"/>
  <c r="Y125" i="1" s="1"/>
  <c r="X145" i="1"/>
  <c r="X135" i="1"/>
  <c r="X136" i="1" s="1"/>
  <c r="X134" i="1"/>
  <c r="AD98" i="1"/>
  <c r="Y126" i="1" l="1"/>
  <c r="Z123" i="1" s="1"/>
  <c r="Y127" i="1"/>
  <c r="AD97" i="1"/>
  <c r="AD99" i="1" s="1"/>
  <c r="AE94" i="1" s="1"/>
  <c r="AD143" i="1"/>
  <c r="Y129" i="1" l="1"/>
  <c r="Y132" i="1" s="1"/>
  <c r="Y130" i="1"/>
  <c r="Y133" i="1" s="1"/>
  <c r="Z124" i="1"/>
  <c r="AE98" i="1"/>
  <c r="Z125" i="1" l="1"/>
  <c r="Z127" i="1" s="1"/>
  <c r="Y145" i="1"/>
  <c r="Y134" i="1"/>
  <c r="Y135" i="1"/>
  <c r="Y136" i="1" s="1"/>
  <c r="AE97" i="1"/>
  <c r="AE99" i="1" s="1"/>
  <c r="AF94" i="1" s="1"/>
  <c r="AE143" i="1"/>
  <c r="Z130" i="1" l="1"/>
  <c r="Z133" i="1" s="1"/>
  <c r="Z129" i="1"/>
  <c r="Z132" i="1" s="1"/>
  <c r="Z126" i="1"/>
  <c r="AA123" i="1" s="1"/>
  <c r="AF98" i="1"/>
  <c r="AA124" i="1" l="1"/>
  <c r="AA125" i="1" s="1"/>
  <c r="AA127" i="1" s="1"/>
  <c r="Z135" i="1"/>
  <c r="Z136" i="1" s="1"/>
  <c r="Z134" i="1"/>
  <c r="Z145" i="1"/>
  <c r="AF97" i="1"/>
  <c r="AF99" i="1" s="1"/>
  <c r="AG94" i="1" s="1"/>
  <c r="AF143" i="1"/>
  <c r="AA126" i="1" l="1"/>
  <c r="AB123" i="1" s="1"/>
  <c r="AB124" i="1" s="1"/>
  <c r="AB125" i="1" s="1"/>
  <c r="AA129" i="1"/>
  <c r="AA132" i="1" s="1"/>
  <c r="AA130" i="1"/>
  <c r="AA133" i="1" s="1"/>
  <c r="AG98" i="1"/>
  <c r="AA135" i="1" l="1"/>
  <c r="AA136" i="1" s="1"/>
  <c r="AA145" i="1"/>
  <c r="AA134" i="1"/>
  <c r="AB126" i="1"/>
  <c r="AC123" i="1" s="1"/>
  <c r="AB127" i="1"/>
  <c r="AG97" i="1"/>
  <c r="AG99" i="1" s="1"/>
  <c r="AH94" i="1" s="1"/>
  <c r="AG143" i="1"/>
  <c r="AC124" i="1" l="1"/>
  <c r="AC125" i="1" s="1"/>
  <c r="AC127" i="1" s="1"/>
  <c r="AB129" i="1"/>
  <c r="AB132" i="1" s="1"/>
  <c r="AB130" i="1"/>
  <c r="AB133" i="1" s="1"/>
  <c r="AH98" i="1"/>
  <c r="AB134" i="1" l="1"/>
  <c r="AB145" i="1"/>
  <c r="AB135" i="1"/>
  <c r="AB136" i="1" s="1"/>
  <c r="AC126" i="1"/>
  <c r="AD123" i="1" s="1"/>
  <c r="AC129" i="1"/>
  <c r="AC132" i="1" s="1"/>
  <c r="AC130" i="1"/>
  <c r="AC133" i="1" s="1"/>
  <c r="AH97" i="1"/>
  <c r="AH99" i="1" s="1"/>
  <c r="AI94" i="1" s="1"/>
  <c r="AH143" i="1"/>
  <c r="AD124" i="1" l="1"/>
  <c r="AD125" i="1" s="1"/>
  <c r="AD127" i="1" s="1"/>
  <c r="AC135" i="1"/>
  <c r="AC136" i="1" s="1"/>
  <c r="AC145" i="1"/>
  <c r="AC134" i="1"/>
  <c r="AI98" i="1"/>
  <c r="AD126" i="1" l="1"/>
  <c r="AE123" i="1" s="1"/>
  <c r="AD130" i="1"/>
  <c r="AD133" i="1" s="1"/>
  <c r="AD129" i="1"/>
  <c r="AD132" i="1" s="1"/>
  <c r="AI97" i="1"/>
  <c r="AI99" i="1" s="1"/>
  <c r="AJ94" i="1" s="1"/>
  <c r="AI143" i="1"/>
  <c r="AD135" i="1" l="1"/>
  <c r="AD136" i="1" s="1"/>
  <c r="AD145" i="1"/>
  <c r="AD134" i="1"/>
  <c r="AE124" i="1"/>
  <c r="AE125" i="1" s="1"/>
  <c r="AE127" i="1" s="1"/>
  <c r="AJ98" i="1"/>
  <c r="AE130" i="1" l="1"/>
  <c r="AE133" i="1" s="1"/>
  <c r="AE129" i="1"/>
  <c r="AE132" i="1" s="1"/>
  <c r="AE126" i="1"/>
  <c r="AF123" i="1" s="1"/>
  <c r="AJ97" i="1"/>
  <c r="AJ99" i="1" s="1"/>
  <c r="AJ116" i="1" s="1"/>
  <c r="AJ117" i="1" s="1"/>
  <c r="AJ143" i="1"/>
  <c r="AF124" i="1" l="1"/>
  <c r="AF125" i="1" s="1"/>
  <c r="AE135" i="1"/>
  <c r="AE136" i="1" s="1"/>
  <c r="AE145" i="1"/>
  <c r="AE134" i="1"/>
  <c r="AJ118" i="1"/>
  <c r="AJ119" i="1" s="1"/>
  <c r="D119" i="1"/>
  <c r="C22" i="1" s="1"/>
  <c r="AF126" i="1" l="1"/>
  <c r="AG123" i="1" s="1"/>
  <c r="AG124" i="1" s="1"/>
  <c r="AG125" i="1" s="1"/>
  <c r="AF127" i="1"/>
  <c r="AF129" i="1" l="1"/>
  <c r="AF132" i="1" s="1"/>
  <c r="AF130" i="1"/>
  <c r="AF133" i="1" s="1"/>
  <c r="AG126" i="1"/>
  <c r="AH123" i="1" s="1"/>
  <c r="AH124" i="1" s="1"/>
  <c r="AH125" i="1" s="1"/>
  <c r="AG127" i="1"/>
  <c r="AG129" i="1" l="1"/>
  <c r="AG132" i="1" s="1"/>
  <c r="AG130" i="1"/>
  <c r="AG133" i="1" s="1"/>
  <c r="AH126" i="1"/>
  <c r="AI123" i="1" s="1"/>
  <c r="AI124" i="1" s="1"/>
  <c r="AI125" i="1" s="1"/>
  <c r="AH127" i="1"/>
  <c r="AF134" i="1"/>
  <c r="AF135" i="1"/>
  <c r="AF136" i="1" s="1"/>
  <c r="AF145" i="1"/>
  <c r="AH130" i="1" l="1"/>
  <c r="AH133" i="1" s="1"/>
  <c r="AH129" i="1"/>
  <c r="AH132" i="1" s="1"/>
  <c r="AI126" i="1"/>
  <c r="AJ123" i="1" s="1"/>
  <c r="AI127" i="1"/>
  <c r="AG134" i="1"/>
  <c r="AG145" i="1"/>
  <c r="AG135" i="1"/>
  <c r="AG136" i="1" s="1"/>
  <c r="AJ124" i="1" l="1"/>
  <c r="AJ125" i="1" s="1"/>
  <c r="AJ127" i="1" s="1"/>
  <c r="AH135" i="1"/>
  <c r="AH136" i="1" s="1"/>
  <c r="AH145" i="1"/>
  <c r="AH134" i="1"/>
  <c r="AI129" i="1"/>
  <c r="AI132" i="1" s="1"/>
  <c r="AI130" i="1"/>
  <c r="AI133" i="1" s="1"/>
  <c r="AJ126" i="1" l="1"/>
  <c r="AJ129" i="1"/>
  <c r="AJ132" i="1" s="1"/>
  <c r="AJ130" i="1"/>
  <c r="AJ133" i="1" s="1"/>
  <c r="D133" i="1" s="1"/>
  <c r="AI134" i="1"/>
  <c r="AI135" i="1"/>
  <c r="AI136" i="1" s="1"/>
  <c r="AI145" i="1"/>
  <c r="AJ145" i="1" l="1"/>
  <c r="D146" i="1" s="1"/>
  <c r="I50" i="8" s="1"/>
  <c r="AJ134" i="1"/>
  <c r="AJ135" i="1"/>
  <c r="AJ136" i="1" s="1"/>
  <c r="D132" i="1"/>
  <c r="D136" i="1"/>
  <c r="B21" i="7" l="1"/>
  <c r="I49" i="8"/>
  <c r="C23" i="1"/>
  <c r="I9"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Brian</author>
    <author>Alan Stevenson</author>
  </authors>
  <commentList>
    <comment ref="E40" authorId="0" shapeId="0" xr:uid="{2DC058A8-E2F4-4FF5-AE5F-328E040CFE24}">
      <text>
        <r>
          <rPr>
            <b/>
            <sz val="9"/>
            <color indexed="81"/>
            <rFont val="Tahoma"/>
            <family val="2"/>
          </rPr>
          <t>Brian:</t>
        </r>
        <r>
          <rPr>
            <sz val="9"/>
            <color indexed="81"/>
            <rFont val="Tahoma"/>
            <family val="2"/>
          </rPr>
          <t xml:space="preserve">
This is a minimum vacancy rate and homes will stop being filled once they get at this number</t>
        </r>
      </text>
    </comment>
    <comment ref="C53" authorId="1" shapeId="0" xr:uid="{E311EB13-1E10-45E3-8FDE-27F21F1E0D93}">
      <text>
        <r>
          <rPr>
            <b/>
            <sz val="9"/>
            <color indexed="81"/>
            <rFont val="Tahoma"/>
            <family val="2"/>
          </rPr>
          <t>INSTRUCTIONS:</t>
        </r>
        <r>
          <rPr>
            <sz val="9"/>
            <color indexed="81"/>
            <rFont val="Tahoma"/>
            <family val="2"/>
          </rPr>
          <t xml:space="preserve">
Enter this as a negative amount.</t>
        </r>
      </text>
    </comment>
    <comment ref="D161" authorId="1" shapeId="0" xr:uid="{5EBD8AD3-AAF1-4DFA-9E4D-722B92D78EDD}">
      <text>
        <r>
          <rPr>
            <b/>
            <sz val="9"/>
            <color indexed="81"/>
            <rFont val="Tahoma"/>
            <family val="2"/>
          </rPr>
          <t>Alan Stevenson:</t>
        </r>
        <r>
          <rPr>
            <sz val="9"/>
            <color indexed="81"/>
            <rFont val="Tahoma"/>
            <family val="2"/>
          </rPr>
          <t xml:space="preserve">
Needs to be determined as accurately as easily possible to show the most recent month's income.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Alan Stevenson</author>
  </authors>
  <commentList>
    <comment ref="C35" authorId="0" shapeId="0" xr:uid="{F758383A-CFB2-4106-AE0F-4869820BE755}">
      <text>
        <r>
          <rPr>
            <b/>
            <sz val="9"/>
            <color indexed="81"/>
            <rFont val="Tahoma"/>
            <family val="2"/>
          </rPr>
          <t xml:space="preserve">Fill in Assessed Property Value from Tax Bill (for California).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tc={4A5875FD-6FE4-41FD-AAD3-38CC87E06ECE}</author>
    <author>tc={8D5A141D-9A3A-44F8-800C-FF25B58CEFF3}</author>
  </authors>
  <commentList>
    <comment ref="C27" authorId="0" shapeId="0" xr:uid="{4A5875FD-6FE4-41FD-AAD3-38CC87E06ECE}">
      <text>
        <t>[Threaded comment]
Your version of Excel allows you to read this threaded comment; however, any edits to it will get removed if the file is opened in a newer version of Excel. Learn more: https://go.microsoft.com/fwlink/?linkid=870924
Comment:
    Alan Stevenson:
For historicals, this is the total summed up vacancy (i.e. we do not break out vacancy between the three bvg categories)</t>
      </text>
    </comment>
    <comment ref="C39" authorId="1" shapeId="0" xr:uid="{8D5A141D-9A3A-44F8-800C-FF25B58CEFF3}">
      <text>
        <t>[Threaded comment]
Your version of Excel allows you to read this threaded comment; however, any edits to it will get removed if the file is opened in a newer version of Excel. Learn more: https://go.microsoft.com/fwlink/?linkid=870924
Comment:
    like Vacancy, this is a total number for the historicals column (since the historical categoties are not going to match the bvg categories)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Alan Stevenson</author>
  </authors>
  <commentList>
    <comment ref="I9" authorId="0" shapeId="0" xr:uid="{9DA143A7-A5EA-4BCB-AD16-4BA507BBFF49}">
      <text>
        <r>
          <rPr>
            <b/>
            <sz val="9"/>
            <color indexed="81"/>
            <rFont val="Tahoma"/>
            <family val="2"/>
          </rPr>
          <t>Alan Stevenson:</t>
        </r>
        <r>
          <rPr>
            <sz val="9"/>
            <color indexed="81"/>
            <rFont val="Tahoma"/>
            <family val="2"/>
          </rPr>
          <t xml:space="preserve">
if available as part of an offering package.</t>
        </r>
      </text>
    </comment>
    <comment ref="I29" authorId="0" shapeId="0" xr:uid="{DA513931-2003-463D-A4FB-721D5CF17826}">
      <text>
        <r>
          <rPr>
            <b/>
            <sz val="9"/>
            <color indexed="81"/>
            <rFont val="Tahoma"/>
            <family val="2"/>
          </rPr>
          <t>Alan Stevenson:</t>
        </r>
        <r>
          <rPr>
            <sz val="9"/>
            <color indexed="81"/>
            <rFont val="Tahoma"/>
            <family val="2"/>
          </rPr>
          <t xml:space="preserve">
if available as part of an offering package.</t>
        </r>
      </text>
    </comment>
  </commentList>
</comments>
</file>

<file path=xl/sharedStrings.xml><?xml version="1.0" encoding="utf-8"?>
<sst xmlns="http://schemas.openxmlformats.org/spreadsheetml/2006/main" count="1139" uniqueCount="741">
  <si>
    <t>Price</t>
  </si>
  <si>
    <t># of spaces
MH/RV/other</t>
  </si>
  <si>
    <t>Price/space</t>
  </si>
  <si>
    <t>Additional Cash needs</t>
  </si>
  <si>
    <t>Vacancy</t>
  </si>
  <si>
    <t>Park owned homes</t>
  </si>
  <si>
    <t>Entry Cap rate</t>
  </si>
  <si>
    <t>Target IRR</t>
  </si>
  <si>
    <t>Key Attributes</t>
  </si>
  <si>
    <t>Housing shortage in West Burlington, IA</t>
  </si>
  <si>
    <t>Rents below market</t>
  </si>
  <si>
    <t>Strong value add opportunity</t>
  </si>
  <si>
    <t>Experienced management team</t>
  </si>
  <si>
    <t>Direct billed gas and electricity</t>
  </si>
  <si>
    <t>All age family parks</t>
  </si>
  <si>
    <t>What makes this property an attractive investment?</t>
  </si>
  <si>
    <t>Uses of additional cash</t>
  </si>
  <si>
    <t>Summary explanation of changes of value</t>
  </si>
  <si>
    <t>Value at year 5</t>
  </si>
  <si>
    <t>Value/space</t>
  </si>
  <si>
    <t>Refi Cap rate</t>
  </si>
  <si>
    <t>5 YR ROI (cash only)</t>
  </si>
  <si>
    <r>
      <t xml:space="preserve">INVESTMENT STRUCTURE </t>
    </r>
    <r>
      <rPr>
        <b/>
        <sz val="10"/>
        <color theme="0"/>
        <rFont val="Arial"/>
        <family val="2"/>
      </rPr>
      <t>(projected returns)</t>
    </r>
  </si>
  <si>
    <t>Cash Infusion Required</t>
  </si>
  <si>
    <r>
      <t>Investment Amount</t>
    </r>
    <r>
      <rPr>
        <b/>
        <sz val="11"/>
        <rFont val="Calibri"/>
        <family val="2"/>
        <scheme val="minor"/>
      </rPr>
      <t xml:space="preserve"> </t>
    </r>
    <r>
      <rPr>
        <b/>
        <sz val="11"/>
        <color rgb="FFC00000"/>
        <rFont val="Calibri"/>
        <family val="2"/>
        <scheme val="minor"/>
      </rPr>
      <t>(</t>
    </r>
    <r>
      <rPr>
        <b/>
        <i/>
        <sz val="11"/>
        <color rgb="FFC00000"/>
        <rFont val="Calibri"/>
        <family val="2"/>
        <scheme val="minor"/>
      </rPr>
      <t>enter amt</t>
    </r>
    <r>
      <rPr>
        <b/>
        <sz val="11"/>
        <color rgb="FFC00000"/>
        <rFont val="Calibri"/>
        <family val="2"/>
        <scheme val="minor"/>
      </rPr>
      <t>)</t>
    </r>
  </si>
  <si>
    <t>Number of Units/of 10,000 total</t>
  </si>
  <si>
    <t>% of ownership</t>
  </si>
  <si>
    <t>Projected Cash Return</t>
  </si>
  <si>
    <t>Year 1</t>
  </si>
  <si>
    <t>Year 2</t>
  </si>
  <si>
    <t>Year 3</t>
  </si>
  <si>
    <t>Year 4</t>
  </si>
  <si>
    <t xml:space="preserve">        Year 5</t>
  </si>
  <si>
    <t>Projected Depreciation</t>
  </si>
  <si>
    <t>Projected total cash returned through year 5</t>
  </si>
  <si>
    <t>Investor IRR (30 Year Hold)</t>
  </si>
  <si>
    <t>Projected value of equity remaining at year 5</t>
  </si>
  <si>
    <t>Investor IRR with Tax Shield (30 Year Hold)</t>
  </si>
  <si>
    <t>Total of cash returned plus retained equity</t>
  </si>
  <si>
    <t>Equity multiple on cash plus retained equity</t>
  </si>
  <si>
    <t xml:space="preserve"> Eli Weiner    530.400.2354</t>
  </si>
  <si>
    <t xml:space="preserve">For information contact: </t>
  </si>
  <si>
    <t>eli@boavidacommunities.com</t>
  </si>
  <si>
    <t>Purchase Price</t>
  </si>
  <si>
    <t>Projections</t>
  </si>
  <si>
    <t>Year 5</t>
  </si>
  <si>
    <t>Year 6</t>
  </si>
  <si>
    <t>Acquisition Cost</t>
  </si>
  <si>
    <t>Total</t>
  </si>
  <si>
    <t>Gross Income</t>
  </si>
  <si>
    <t>Operating Expense</t>
  </si>
  <si>
    <t>Additional Capital / Closing</t>
  </si>
  <si>
    <t>Net Income</t>
  </si>
  <si>
    <t>Total Acquisition Cost</t>
  </si>
  <si>
    <t>Gross Profit</t>
  </si>
  <si>
    <t>All In Entrance Cap Rate</t>
  </si>
  <si>
    <t>Debt Service</t>
  </si>
  <si>
    <t>Equity</t>
  </si>
  <si>
    <t xml:space="preserve">Debt </t>
  </si>
  <si>
    <t>Net Cash Flow after Debt Service</t>
  </si>
  <si>
    <t>Cash from Sale of POH</t>
  </si>
  <si>
    <t>Return of Capital from Refinance</t>
  </si>
  <si>
    <t>Cash Available for Distribution</t>
  </si>
  <si>
    <t>Total Equity Investment</t>
  </si>
  <si>
    <t>Cash Flow to Investor</t>
  </si>
  <si>
    <t>Number of Spaces</t>
  </si>
  <si>
    <t>ROE</t>
  </si>
  <si>
    <t>Price/Space</t>
  </si>
  <si>
    <t>Returns</t>
  </si>
  <si>
    <t>Investor Target IRR</t>
  </si>
  <si>
    <t>Cash on Cash (5 Years)</t>
  </si>
  <si>
    <t>Distributions (5 Years)</t>
  </si>
  <si>
    <t>Timberline Estates - 14876 Washington Road, West Burlington, IA 52655</t>
  </si>
  <si>
    <t>Cell T1 is used for the AutoSave Function</t>
  </si>
  <si>
    <t>Echo Valley I - 11541 Beaverdale Rd, West Burlington, IA 52655</t>
  </si>
  <si>
    <t>Echo Valley II - 11681 Beaverdale Rd, West Burlington, IA 52655</t>
  </si>
  <si>
    <t>Acquisition Summary</t>
  </si>
  <si>
    <t>Per Space</t>
  </si>
  <si>
    <t>Inputs / Assumptions</t>
  </si>
  <si>
    <t>Inflation</t>
  </si>
  <si>
    <t>Historical Expense Inputs To Fill</t>
  </si>
  <si>
    <t>Trailing 12</t>
  </si>
  <si>
    <r>
      <t xml:space="preserve">Addl Capital / Closing Costs </t>
    </r>
    <r>
      <rPr>
        <b/>
        <sz val="10"/>
        <rFont val="Arial"/>
        <family val="2"/>
      </rPr>
      <t>(see Notes)</t>
    </r>
  </si>
  <si>
    <t>Management Fee</t>
  </si>
  <si>
    <t>Recourse Loan</t>
  </si>
  <si>
    <t>No</t>
  </si>
  <si>
    <t>Total Investment</t>
  </si>
  <si>
    <t>Management Fee Limit</t>
  </si>
  <si>
    <t>Acquisition Fee</t>
  </si>
  <si>
    <t>2018 Annualized</t>
  </si>
  <si>
    <t>Going In Cap Rate</t>
  </si>
  <si>
    <t>Vacant Spaces Filled/Year</t>
  </si>
  <si>
    <t>Asset Management Fee</t>
  </si>
  <si>
    <t>Brkr Projection</t>
  </si>
  <si>
    <t>Projected Year 1 Cap Rate</t>
  </si>
  <si>
    <t>Maintenance / Capital Reserve</t>
  </si>
  <si>
    <t>/space/yr</t>
  </si>
  <si>
    <t>Refinance Fee</t>
  </si>
  <si>
    <t>Refinance Cap Rate Assumption</t>
  </si>
  <si>
    <t>Disposition Fee</t>
  </si>
  <si>
    <t>Space Rent to Acq $ Per Pad Ratio</t>
  </si>
  <si>
    <t>Occupied</t>
  </si>
  <si>
    <t>Vacant</t>
  </si>
  <si>
    <t>Vacancy Rate</t>
  </si>
  <si>
    <t>Timberline</t>
  </si>
  <si>
    <t>Echo Valley I</t>
  </si>
  <si>
    <t>Echo Valley II</t>
  </si>
  <si>
    <t>Park Owned Homes (POH)</t>
  </si>
  <si>
    <t>--&gt; POH to be sold</t>
  </si>
  <si>
    <t>Return Metrics Summary</t>
  </si>
  <si>
    <t>3 Year</t>
  </si>
  <si>
    <t>5 Year</t>
  </si>
  <si>
    <t>10 Year</t>
  </si>
  <si>
    <t>Investor BVG Split</t>
  </si>
  <si>
    <t>Park Owned Home NOI Summary</t>
  </si>
  <si>
    <t>Gross IRR - Unl.</t>
  </si>
  <si>
    <t>Investor %</t>
  </si>
  <si>
    <t>$ Total</t>
  </si>
  <si>
    <t>$ / Home</t>
  </si>
  <si>
    <t>Gross IRR - Lev.</t>
  </si>
  <si>
    <t>BVG %</t>
  </si>
  <si>
    <t>Income</t>
  </si>
  <si>
    <t>Investor IRR</t>
  </si>
  <si>
    <t>Investor Pref. Return (Yr 1)</t>
  </si>
  <si>
    <t>Expense</t>
  </si>
  <si>
    <t>Investor EM</t>
  </si>
  <si>
    <t>Investor Pref. Return (After Yr 1)</t>
  </si>
  <si>
    <t>NOI</t>
  </si>
  <si>
    <t>Investor Equity</t>
  </si>
  <si>
    <t>BVG Cash</t>
  </si>
  <si>
    <t>Yr 10 Value</t>
  </si>
  <si>
    <t>Year 10 $/Pad</t>
  </si>
  <si>
    <t>Value $ / Pad</t>
  </si>
  <si>
    <t>GL Acct</t>
  </si>
  <si>
    <t>Yr 1 Total</t>
  </si>
  <si>
    <t>Monthly Operating Summary</t>
  </si>
  <si>
    <t>Base Year</t>
  </si>
  <si>
    <t>BVG Budget</t>
  </si>
  <si>
    <t>Rental Rate by Category</t>
  </si>
  <si>
    <t>Gross Rental Income by Category</t>
  </si>
  <si>
    <t>Spaces</t>
  </si>
  <si>
    <t>Total Vac. Spaces</t>
  </si>
  <si>
    <t>Net Rental Income</t>
  </si>
  <si>
    <t>Water % PT</t>
  </si>
  <si>
    <t>Sewer % PT</t>
  </si>
  <si>
    <t>W&amp;S % PT</t>
  </si>
  <si>
    <t>Trash % PT</t>
  </si>
  <si>
    <t>Elec % PT</t>
  </si>
  <si>
    <t>Gas % PT</t>
  </si>
  <si>
    <t>Wat $/ Occ Pad</t>
  </si>
  <si>
    <t>Sewer $/Occ Pad</t>
  </si>
  <si>
    <t xml:space="preserve">W&amp;S $/ Occ Pad </t>
  </si>
  <si>
    <t>Trash $/ Occ Pad</t>
  </si>
  <si>
    <t>Elec $/ Occ Pad</t>
  </si>
  <si>
    <t>Gas $/ Occ Pad</t>
  </si>
  <si>
    <t>Other Income</t>
  </si>
  <si>
    <t>Annualized</t>
  </si>
  <si>
    <t>Electric</t>
  </si>
  <si>
    <t>Gas / Propane</t>
  </si>
  <si>
    <t>Trash</t>
  </si>
  <si>
    <t>Sewer</t>
  </si>
  <si>
    <t>Water</t>
  </si>
  <si>
    <t>Other, misc.</t>
  </si>
  <si>
    <t>Total Other Income</t>
  </si>
  <si>
    <t>Free Rent/Utilities to Manager</t>
  </si>
  <si>
    <t>Total Income (Monthly)</t>
  </si>
  <si>
    <t>Historical Exp.</t>
  </si>
  <si>
    <t>Water $/Pad</t>
  </si>
  <si>
    <t>Sewer $/Pad</t>
  </si>
  <si>
    <t xml:space="preserve">W&amp;S $/Pad </t>
  </si>
  <si>
    <t>Trash $/Pad</t>
  </si>
  <si>
    <t>Elec $/Pad</t>
  </si>
  <si>
    <t>Gas $/Pad</t>
  </si>
  <si>
    <t>Yr 1 $/Pad</t>
  </si>
  <si>
    <t>Monthly Expenses</t>
  </si>
  <si>
    <t>Payroll Taxes</t>
  </si>
  <si>
    <t>Workers Comp</t>
  </si>
  <si>
    <t>Gas/Propane</t>
  </si>
  <si>
    <t>Sewer-septic</t>
  </si>
  <si>
    <t xml:space="preserve">Water </t>
  </si>
  <si>
    <t>Phone/Cable/Internet</t>
  </si>
  <si>
    <t>Auto expense &amp; travel</t>
  </si>
  <si>
    <t>Outside Services -plumbing, electrical, etc</t>
  </si>
  <si>
    <t>Landscape, pool, &amp; sweeping maintenance &amp; supplies</t>
  </si>
  <si>
    <r>
      <t>Property Taxes (</t>
    </r>
    <r>
      <rPr>
        <i/>
        <sz val="10"/>
        <rFont val="Arial"/>
        <family val="2"/>
      </rPr>
      <t>Add Description of Assumptions</t>
    </r>
    <r>
      <rPr>
        <sz val="10"/>
        <rFont val="Arial"/>
        <family val="2"/>
      </rPr>
      <t>)</t>
    </r>
  </si>
  <si>
    <t xml:space="preserve">Insurance </t>
  </si>
  <si>
    <t>Billing Software</t>
  </si>
  <si>
    <t>Legal Expenses</t>
  </si>
  <si>
    <t>LLC/LP Tax</t>
  </si>
  <si>
    <t>Advertising</t>
  </si>
  <si>
    <t>Tax Return Preparation/accounting</t>
  </si>
  <si>
    <t>Licenses and Permits</t>
  </si>
  <si>
    <t>Banking and Merchant fees (est)</t>
  </si>
  <si>
    <t>Office Supplies, Postage, Pager, Printing, dues, subscr, Misc.</t>
  </si>
  <si>
    <t>Total Operating Expense (Monthly)</t>
  </si>
  <si>
    <t>Net Operating Income (Monthly)</t>
  </si>
  <si>
    <t>Net Operating Income (Annual)</t>
  </si>
  <si>
    <t xml:space="preserve">Return On Cost </t>
  </si>
  <si>
    <t>Initial</t>
  </si>
  <si>
    <t>Refi</t>
  </si>
  <si>
    <t>LTV</t>
  </si>
  <si>
    <t>Debt service</t>
  </si>
  <si>
    <t>Additional debt/Refinance</t>
  </si>
  <si>
    <t>Amort.</t>
  </si>
  <si>
    <t>Payment</t>
  </si>
  <si>
    <t>Rate</t>
  </si>
  <si>
    <t>Principal</t>
  </si>
  <si>
    <t>Interest</t>
  </si>
  <si>
    <t>1st Refi at Year</t>
  </si>
  <si>
    <t>2nd Refi at Year</t>
  </si>
  <si>
    <t>Ending balance</t>
  </si>
  <si>
    <t>Years of IO</t>
  </si>
  <si>
    <t>DSCR</t>
  </si>
  <si>
    <t>This line isn't needed but was helpful when looking at POH Income</t>
  </si>
  <si>
    <t>DSCR w/POH Income</t>
  </si>
  <si>
    <t>Refinance Valuation</t>
  </si>
  <si>
    <t>REFI CAP RATE</t>
  </si>
  <si>
    <t>AVG PRICE EA</t>
  </si>
  <si>
    <t>Rental Income from POH</t>
  </si>
  <si>
    <t>Note Income from POH</t>
  </si>
  <si>
    <t>POH Seller Carry Note</t>
  </si>
  <si>
    <t>Return of Capital (other)</t>
  </si>
  <si>
    <t>Sale Proceeds at Exit</t>
  </si>
  <si>
    <t>Pretax Income Available for Distribution</t>
  </si>
  <si>
    <t>Leveraged Return On Initial Equity</t>
  </si>
  <si>
    <r>
      <t xml:space="preserve">Gross IRR </t>
    </r>
    <r>
      <rPr>
        <sz val="10"/>
        <rFont val="Arial"/>
        <family val="2"/>
      </rPr>
      <t>(par return)</t>
    </r>
  </si>
  <si>
    <t>Distributions</t>
  </si>
  <si>
    <t>Investor Preferred Return</t>
  </si>
  <si>
    <t>Beginning balance</t>
  </si>
  <si>
    <t>Preferred return</t>
  </si>
  <si>
    <t>Available</t>
  </si>
  <si>
    <t>Split</t>
  </si>
  <si>
    <t>Investor</t>
  </si>
  <si>
    <t>BVG</t>
  </si>
  <si>
    <t>Total Project Cash Flow</t>
  </si>
  <si>
    <t>Investor Pretax Leveraged Return On Initial Equity</t>
  </si>
  <si>
    <t>Total Investor Cash (5 Years)</t>
  </si>
  <si>
    <t>Total BVG Cash (5 Years)</t>
  </si>
  <si>
    <t>Investor Return Inclusive of Depreciation</t>
  </si>
  <si>
    <t>Estimated Annual Depreciation (100% investors until refi)</t>
  </si>
  <si>
    <t>Estimated Amount of Taxable Income</t>
  </si>
  <si>
    <t>Depreciation Tax Shield</t>
  </si>
  <si>
    <t>Investor Cash Flow with Tax Shield</t>
  </si>
  <si>
    <t>Investor IRR with Depreciation Tax Shield</t>
  </si>
  <si>
    <t>BVG INTERNAL METRICS BELOW (automatically hidden in Investor version)</t>
  </si>
  <si>
    <t xml:space="preserve">In Place NOI </t>
  </si>
  <si>
    <t>Cost of Sale</t>
  </si>
  <si>
    <t>Monthly</t>
  </si>
  <si>
    <t>Less Free Rent To Manager</t>
  </si>
  <si>
    <t>=Total Income</t>
  </si>
  <si>
    <t>Less Year 1 Operating Expenses</t>
  </si>
  <si>
    <t>=In Place Net Operating Income</t>
  </si>
  <si>
    <t>Internal Return Metrics</t>
  </si>
  <si>
    <t>Gross IRR - Unleveraged</t>
  </si>
  <si>
    <t>Gross IRR - Leveraged</t>
  </si>
  <si>
    <t>Investor Equity Multiple</t>
  </si>
  <si>
    <t>Investor Cash</t>
  </si>
  <si>
    <t>Unlevered IRR Calcs (3, 5, 10 Year Hold)</t>
  </si>
  <si>
    <t>Below The Line Items</t>
  </si>
  <si>
    <t>Yr 3 Sale Proceeds</t>
  </si>
  <si>
    <t>Yr 3 Unlevered CF</t>
  </si>
  <si>
    <t>Yr 3 Unlevered IRR</t>
  </si>
  <si>
    <t>Yr 5 Sale Proceeds</t>
  </si>
  <si>
    <t>Yr 5 Unlevered CF</t>
  </si>
  <si>
    <t>Yr 5 Unlevered IRR</t>
  </si>
  <si>
    <t>Yr 10 Sale Proceeds</t>
  </si>
  <si>
    <t>Yr 10 Unlevered CF</t>
  </si>
  <si>
    <t>Yr 10 Unlevered IRR</t>
  </si>
  <si>
    <t>3 year hold waterfall</t>
  </si>
  <si>
    <t>Repay Outstanding Loan</t>
  </si>
  <si>
    <t>Leveraged Gross IRR (3 year hold)</t>
  </si>
  <si>
    <t>Available After Pref / Return Of Capital</t>
  </si>
  <si>
    <t>Investor IRR (3 Year Hold)</t>
  </si>
  <si>
    <t>Investor Multiple</t>
  </si>
  <si>
    <t>investor cash</t>
  </si>
  <si>
    <t>5 year hold waterfall</t>
  </si>
  <si>
    <t>Leveraged Gross IRR (5 year hold)</t>
  </si>
  <si>
    <t>Investor IRR (5 Year Hold)</t>
  </si>
  <si>
    <t>bvg cash</t>
  </si>
  <si>
    <t>10 year hold waterfall</t>
  </si>
  <si>
    <t>Year 7</t>
  </si>
  <si>
    <t>Year 8</t>
  </si>
  <si>
    <t>Year 9</t>
  </si>
  <si>
    <t>Year 10</t>
  </si>
  <si>
    <t>Leveraged Gross IRR (10 year hold)</t>
  </si>
  <si>
    <t>Investor IRR (10 Year Hold)</t>
  </si>
  <si>
    <t>BVG Internal "to be hidden section" ends here</t>
  </si>
  <si>
    <t>Additional Cash Needs at Close of Escrow</t>
  </si>
  <si>
    <t>Analysis Assumptions / Notes / Questions</t>
  </si>
  <si>
    <t>Closing Costs</t>
  </si>
  <si>
    <t>Escrow, Title, Other</t>
  </si>
  <si>
    <t>Loan Origination Fees</t>
  </si>
  <si>
    <t>Appraisal, Phase I, Survey</t>
  </si>
  <si>
    <t>Reimbursable Direct Due Diligence Costs</t>
  </si>
  <si>
    <t>Loan Legal</t>
  </si>
  <si>
    <t>Buyer's Broker Fee</t>
  </si>
  <si>
    <t>Other Closing Costs</t>
  </si>
  <si>
    <t>Subtotal Closing Costs</t>
  </si>
  <si>
    <t>Immediate Capital Needs</t>
  </si>
  <si>
    <t>Park Entrance Upgrades</t>
  </si>
  <si>
    <t>Signage Upgrades</t>
  </si>
  <si>
    <t>Landscaping</t>
  </si>
  <si>
    <t>Roads / Asphalt</t>
  </si>
  <si>
    <t>Tree Work</t>
  </si>
  <si>
    <t>Office / Clubhouse</t>
  </si>
  <si>
    <t>Water Meter Installation</t>
  </si>
  <si>
    <t>Manager's Residence</t>
  </si>
  <si>
    <t>Home Removal</t>
  </si>
  <si>
    <t>Lot Preparation</t>
  </si>
  <si>
    <t>New Home Installation</t>
  </si>
  <si>
    <t>Used Home Remodel</t>
  </si>
  <si>
    <t>Operating Capital</t>
  </si>
  <si>
    <t>Utility Deposits</t>
  </si>
  <si>
    <t>Other Capital Needs</t>
  </si>
  <si>
    <t>Subtotal Immediate Capital Needs</t>
  </si>
  <si>
    <t>Total Additional Cash at Close of Escrow</t>
  </si>
  <si>
    <t>Property Tax Detail</t>
  </si>
  <si>
    <t>Budgeted Employee Expense</t>
  </si>
  <si>
    <t>Value</t>
  </si>
  <si>
    <t>Old</t>
  </si>
  <si>
    <t>New</t>
  </si>
  <si>
    <t>Hrs / Week</t>
  </si>
  <si>
    <t>$ Per Hour</t>
  </si>
  <si>
    <t>Total $/Mo</t>
  </si>
  <si>
    <t>Count</t>
  </si>
  <si>
    <t>FTE</t>
  </si>
  <si>
    <t xml:space="preserve"> APN</t>
  </si>
  <si>
    <t>Management</t>
  </si>
  <si>
    <t>Indirect Fees</t>
  </si>
  <si>
    <t>Manager</t>
  </si>
  <si>
    <t>Asst Manager</t>
  </si>
  <si>
    <t>Other</t>
  </si>
  <si>
    <t>Subtotal Management</t>
  </si>
  <si>
    <t>Maintenance</t>
  </si>
  <si>
    <t>Maintenance Engineer</t>
  </si>
  <si>
    <t>Asst. Maintenance Eng.</t>
  </si>
  <si>
    <t>Other Employees</t>
  </si>
  <si>
    <t>Other 1</t>
  </si>
  <si>
    <t>Other 2</t>
  </si>
  <si>
    <t>total indirect fees</t>
  </si>
  <si>
    <t>Other 3</t>
  </si>
  <si>
    <t>Direct Levies</t>
  </si>
  <si>
    <t>Subtotal Other</t>
  </si>
  <si>
    <t>TOTALS</t>
  </si>
  <si>
    <t>analysis</t>
  </si>
  <si>
    <t>difference</t>
  </si>
  <si>
    <t>per space/mo</t>
  </si>
  <si>
    <t>Depreciation</t>
  </si>
  <si>
    <t>Category</t>
  </si>
  <si>
    <t>Schedule</t>
  </si>
  <si>
    <t>Land Allocation (20%)</t>
  </si>
  <si>
    <t>Per appraisal</t>
  </si>
  <si>
    <t>Buildings Non-Residential</t>
  </si>
  <si>
    <t>39 years</t>
  </si>
  <si>
    <t>Clubhouse</t>
  </si>
  <si>
    <t>Office</t>
  </si>
  <si>
    <t>Laundry</t>
  </si>
  <si>
    <t>Subtotal Non-Residential</t>
  </si>
  <si>
    <t>Buildings Residential</t>
  </si>
  <si>
    <t>27.5 years</t>
  </si>
  <si>
    <t>avg value each</t>
  </si>
  <si>
    <t>POH (qty)</t>
  </si>
  <si>
    <t>Subtotal Residential</t>
  </si>
  <si>
    <t>Infrastructure</t>
  </si>
  <si>
    <t>15 years</t>
  </si>
  <si>
    <t xml:space="preserve">First Year Bonus Depreciation </t>
  </si>
  <si>
    <t>Year 1 NOI</t>
  </si>
  <si>
    <t>Year 1 Taxable income</t>
  </si>
  <si>
    <t>Housing / Economic Summary</t>
  </si>
  <si>
    <t>Historical Population</t>
  </si>
  <si>
    <t>Economy</t>
  </si>
  <si>
    <t>Zillow Home Value Index</t>
  </si>
  <si>
    <t xml:space="preserve">used all homes metric </t>
  </si>
  <si>
    <t>Apartment Rents</t>
  </si>
  <si>
    <t>1bd</t>
  </si>
  <si>
    <t>2bd</t>
  </si>
  <si>
    <t>3bd</t>
  </si>
  <si>
    <t>Year</t>
  </si>
  <si>
    <t>Pop.</t>
  </si>
  <si>
    <t>±%</t>
  </si>
  <si>
    <t>Most people work in retail, healthcare, or manufacturing</t>
  </si>
  <si>
    <t>Avg. Rents</t>
  </si>
  <si>
    <t>—    </t>
  </si>
  <si>
    <t>Job growth projections are 15.7%</t>
  </si>
  <si>
    <t xml:space="preserve">Median Home Price </t>
  </si>
  <si>
    <t>Population</t>
  </si>
  <si>
    <t>Median HH Income</t>
  </si>
  <si>
    <t>Major Employers</t>
  </si>
  <si>
    <t>Great River Health</t>
  </si>
  <si>
    <t>−0.8%</t>
  </si>
  <si>
    <t>Parrott Family Farms</t>
  </si>
  <si>
    <t>West Liberty Foods</t>
  </si>
  <si>
    <t>Burlington Glass Co</t>
  </si>
  <si>
    <t>Shearer's Foods</t>
  </si>
  <si>
    <t>−8.5%</t>
  </si>
  <si>
    <t>−6.1%</t>
  </si>
  <si>
    <t>−2.6%</t>
  </si>
  <si>
    <r>
      <t>Source:</t>
    </r>
    <r>
      <rPr>
        <i/>
        <sz val="8"/>
        <color rgb="FF3366BB"/>
        <rFont val="Arial"/>
        <family val="2"/>
      </rPr>
      <t>"U.S. Census website"</t>
    </r>
    <r>
      <rPr>
        <i/>
        <sz val="8"/>
        <color rgb="FF202122"/>
        <rFont val="Arial"/>
        <family val="2"/>
      </rPr>
      <t>. </t>
    </r>
    <r>
      <rPr>
        <i/>
        <sz val="8"/>
        <color rgb="FF0645AD"/>
        <rFont val="Arial"/>
        <family val="2"/>
      </rPr>
      <t>United States Census Bureau</t>
    </r>
    <r>
      <rPr>
        <i/>
        <sz val="8"/>
        <color rgb="FF202122"/>
        <rFont val="Arial"/>
        <family val="2"/>
      </rPr>
      <t>. Retrieved 2020-03-29.</t>
    </r>
    <r>
      <rPr>
        <sz val="8"/>
        <color rgb="FF202122"/>
        <rFont val="Arial"/>
        <family val="2"/>
      </rPr>
      <t> and </t>
    </r>
    <r>
      <rPr>
        <sz val="8"/>
        <color rgb="FF3366BB"/>
        <rFont val="Arial"/>
        <family val="2"/>
      </rPr>
      <t>Iowa Data Center</t>
    </r>
  </si>
  <si>
    <t>Source:</t>
  </si>
  <si>
    <t>U.S. Decennial Census[5]</t>
  </si>
  <si>
    <t>Rent Roll</t>
  </si>
  <si>
    <t>Park Name - Address</t>
  </si>
  <si>
    <t>POH Value</t>
  </si>
  <si>
    <t>Asking Price</t>
  </si>
  <si>
    <t># Pads</t>
  </si>
  <si>
    <t># POH</t>
  </si>
  <si>
    <t># Occupied</t>
  </si>
  <si>
    <t># Occupied POH</t>
  </si>
  <si>
    <t>Space Rent</t>
  </si>
  <si>
    <t>Avg. POH Rent</t>
  </si>
  <si>
    <t>Vacancy Overide</t>
  </si>
  <si>
    <t>Less Vacancy</t>
  </si>
  <si>
    <t>Misc. Income</t>
  </si>
  <si>
    <t>Estimated Gross Income</t>
  </si>
  <si>
    <t>POH Opex %</t>
  </si>
  <si>
    <t>Opex %</t>
  </si>
  <si>
    <t>POH Operating Expenses</t>
  </si>
  <si>
    <t>Operating Expenses</t>
  </si>
  <si>
    <t>POH NOI</t>
  </si>
  <si>
    <t>BVG POH Cap Rate</t>
  </si>
  <si>
    <t>BVG Cap Rate</t>
  </si>
  <si>
    <t>BVG POH Price</t>
  </si>
  <si>
    <t>BVG Stabilized Value</t>
  </si>
  <si>
    <t>POH/Park Blended</t>
  </si>
  <si>
    <t>Stab Vacancy Rate</t>
  </si>
  <si>
    <t>POH LTV</t>
  </si>
  <si>
    <t>POH Loan Interest Rate</t>
  </si>
  <si>
    <t>POH Loan Term (Years)</t>
  </si>
  <si>
    <t>Gross Potential Rent</t>
  </si>
  <si>
    <t>POH Loan Payment</t>
  </si>
  <si>
    <t>Initial Equity (POH+Park)</t>
  </si>
  <si>
    <t>5 Yr Avg. COC%</t>
  </si>
  <si>
    <t>Equity After Refi</t>
  </si>
  <si>
    <t>Cash Flowed Equity</t>
  </si>
  <si>
    <t>% Equity Returned</t>
  </si>
  <si>
    <t>BVG Park + POH Price</t>
  </si>
  <si>
    <t>5 Year Equity Return</t>
  </si>
  <si>
    <t>5 Yr Avg COC %</t>
  </si>
  <si>
    <t>Initial Equity</t>
  </si>
  <si>
    <t>Refi Equity Distribution</t>
  </si>
  <si>
    <t xml:space="preserve">Profit </t>
  </si>
  <si>
    <t>initial loan</t>
  </si>
  <si>
    <t>refi loan</t>
  </si>
  <si>
    <t>refi proceeds distribution</t>
  </si>
  <si>
    <t>plus cash flow equity</t>
  </si>
  <si>
    <t>total equity distributed</t>
  </si>
  <si>
    <t>% equity returned</t>
  </si>
  <si>
    <t>Escrow Funding Summary</t>
  </si>
  <si>
    <t>Funds Due To Escrow To Close</t>
  </si>
  <si>
    <t>Fill in from settlement statement</t>
  </si>
  <si>
    <t>Funds To Transfer to Ownerhip LLC</t>
  </si>
  <si>
    <t>Projected Due Diligence Cost Reimbusement to BVG</t>
  </si>
  <si>
    <t>Refund Earnest Money to BVG</t>
  </si>
  <si>
    <t>Immediate Capital Needs to Reserve</t>
  </si>
  <si>
    <t>Other Items / Adjustments</t>
  </si>
  <si>
    <t>Use if necessary</t>
  </si>
  <si>
    <t>Total To Transfer to Ownership LLC</t>
  </si>
  <si>
    <t>Projected LLC Account Balance Post COE</t>
  </si>
  <si>
    <t>Park Owned Home Summary</t>
  </si>
  <si>
    <t>POH Income</t>
  </si>
  <si>
    <t>NOI w/POH Rent</t>
  </si>
  <si>
    <t>POH to Gross Income Ratio</t>
  </si>
  <si>
    <t>POH to NOI Ratio</t>
  </si>
  <si>
    <t>Cap Rate with POH Income</t>
  </si>
  <si>
    <t>Seller Carry POH Note Amount</t>
  </si>
  <si>
    <t>Down Pmt</t>
  </si>
  <si>
    <t>Term</t>
  </si>
  <si>
    <t>Amortization</t>
  </si>
  <si>
    <t>Pmt</t>
  </si>
  <si>
    <t>Yearly Pmt</t>
  </si>
  <si>
    <t>POH List</t>
  </si>
  <si>
    <t xml:space="preserve">MH </t>
  </si>
  <si>
    <t>RV</t>
  </si>
  <si>
    <t>Rental Rate Summary</t>
  </si>
  <si>
    <t>Historial Inc</t>
  </si>
  <si>
    <t>BVG Yr 1</t>
  </si>
  <si>
    <t>Income Summary</t>
  </si>
  <si>
    <t>Less Free Rent/Utilities to Manager</t>
  </si>
  <si>
    <t>Total Income</t>
  </si>
  <si>
    <t>Expense Summary</t>
  </si>
  <si>
    <t>Salary Exp</t>
  </si>
  <si>
    <t>Property Taxes (Add Description of Assumptions)</t>
  </si>
  <si>
    <t>Total Operating Expenses</t>
  </si>
  <si>
    <t>Ratio</t>
  </si>
  <si>
    <t>Net Operating Income</t>
  </si>
  <si>
    <t>Addititional Park Owned Home NOI</t>
  </si>
  <si>
    <t>Historical Income / Expense Data Entry Form</t>
  </si>
  <si>
    <t>List Data for Proforma (Do Not Change)</t>
  </si>
  <si>
    <t>Deal Name</t>
  </si>
  <si>
    <t>Current Year</t>
  </si>
  <si>
    <t>Three Past Years</t>
  </si>
  <si>
    <t>2022 Annualized</t>
  </si>
  <si>
    <t>Date of Statement</t>
  </si>
  <si>
    <t># of Months for YTD</t>
  </si>
  <si>
    <t>Historical Income Data Entry</t>
  </si>
  <si>
    <t xml:space="preserve">BVG </t>
  </si>
  <si>
    <t>YTD</t>
  </si>
  <si>
    <t xml:space="preserve">Annualized </t>
  </si>
  <si>
    <t>Broker</t>
  </si>
  <si>
    <t>Historical Income Entry</t>
  </si>
  <si>
    <t>Account#</t>
  </si>
  <si>
    <t>Projection</t>
  </si>
  <si>
    <t>BVG Account Name</t>
  </si>
  <si>
    <t>Notes</t>
  </si>
  <si>
    <t>MH Space Rent Tier 1</t>
  </si>
  <si>
    <t>RV Space Rent Permanent</t>
  </si>
  <si>
    <t>RV Space Rent Temporary</t>
  </si>
  <si>
    <t>Vacancy Loss</t>
  </si>
  <si>
    <t>Free Rent to Manager</t>
  </si>
  <si>
    <t>Totals for Checksum</t>
  </si>
  <si>
    <t>Historical Expenses Data Entry</t>
  </si>
  <si>
    <t>Historical Expenses Entry</t>
  </si>
  <si>
    <t>Manager/Maint (Fill In Description of Assumptions))</t>
  </si>
  <si>
    <t>This can be tricky on YTD statements as is often paid twice per year.</t>
  </si>
  <si>
    <t xml:space="preserve">Maintenance $250 per space </t>
  </si>
  <si>
    <t>Biling Software</t>
  </si>
  <si>
    <t>Professional Mgmt ($2,000/mo or 5%)</t>
  </si>
  <si>
    <t>Historical Income Analysis Summary</t>
  </si>
  <si>
    <t>Broker Projection</t>
  </si>
  <si>
    <t>BVG Projection vs.</t>
  </si>
  <si>
    <t>Income Item</t>
  </si>
  <si>
    <t>Average Historical</t>
  </si>
  <si>
    <t>Gross Rental Income</t>
  </si>
  <si>
    <t xml:space="preserve"> </t>
  </si>
  <si>
    <t>Broker Compared to T12</t>
  </si>
  <si>
    <t xml:space="preserve">    Less Vacancy Loss</t>
  </si>
  <si>
    <t>Broker Compared to YTD Annualized</t>
  </si>
  <si>
    <t>YOY Change</t>
  </si>
  <si>
    <t>Less Free Rent / Utilities To Manager</t>
  </si>
  <si>
    <t>Historical Expense Analysis Summary</t>
  </si>
  <si>
    <t>Expense Item</t>
  </si>
  <si>
    <t>BVG Yr 1 Projection</t>
  </si>
  <si>
    <t>Lookup</t>
  </si>
  <si>
    <t>Manager/Maint Salary Expense</t>
  </si>
  <si>
    <t>Gas</t>
  </si>
  <si>
    <t xml:space="preserve">Phone/Cable </t>
  </si>
  <si>
    <t xml:space="preserve">Property Taxes </t>
  </si>
  <si>
    <t xml:space="preserve">Professional Mgmt </t>
  </si>
  <si>
    <t>Total Expenses</t>
  </si>
  <si>
    <t>Operating Expense / Income Ratio</t>
  </si>
  <si>
    <t>Utility Leakage Analysis</t>
  </si>
  <si>
    <t>Overall Utility Leakage</t>
  </si>
  <si>
    <t>Utility Reimbursement Income</t>
  </si>
  <si>
    <t>Utility Expense</t>
  </si>
  <si>
    <t>Utility Leakage</t>
  </si>
  <si>
    <t>% Utility Reimbursed</t>
  </si>
  <si>
    <t>Electricity Leakage</t>
  </si>
  <si>
    <t>Electricity Reimbursement Income</t>
  </si>
  <si>
    <t>Electricity Expense</t>
  </si>
  <si>
    <t>Electrcity Leakage</t>
  </si>
  <si>
    <t>% Electricity Reimbursed</t>
  </si>
  <si>
    <t>Gas Leakage</t>
  </si>
  <si>
    <t>Gas Reimbursement Income</t>
  </si>
  <si>
    <t>Gas Expense</t>
  </si>
  <si>
    <t>% Gas Reimbursed</t>
  </si>
  <si>
    <t>Trash Leakage</t>
  </si>
  <si>
    <t>Trash Reimbursement Income</t>
  </si>
  <si>
    <t>Trash Expense</t>
  </si>
  <si>
    <t>% Trash Reimbursed</t>
  </si>
  <si>
    <t>Sewer Leakage</t>
  </si>
  <si>
    <t>Sewer Reimbursement Income</t>
  </si>
  <si>
    <t>Sewer Expense</t>
  </si>
  <si>
    <t>% Sewer Reimbursed</t>
  </si>
  <si>
    <t>Water Leakage</t>
  </si>
  <si>
    <t>Water Reimbursement Income</t>
  </si>
  <si>
    <t>Water Expense</t>
  </si>
  <si>
    <t>% Water Reimbursed</t>
  </si>
  <si>
    <t>Combined Sewer/Water Leakage</t>
  </si>
  <si>
    <t>Combined Sewer/Water Reimbursement Income</t>
  </si>
  <si>
    <t>Combined Sewer/Water Expense</t>
  </si>
  <si>
    <t>% Combined Sewer/Water Reimbursed</t>
  </si>
  <si>
    <t>don't delete - needed for chart names</t>
  </si>
  <si>
    <t>Income Account Codes</t>
  </si>
  <si>
    <t>May be included with Mobile Home income under a single line item</t>
  </si>
  <si>
    <r>
      <rPr>
        <sz val="11"/>
        <color rgb="FFFF0000"/>
        <rFont val="Calibri"/>
        <family val="2"/>
        <scheme val="minor"/>
      </rPr>
      <t>Enter as a negative amount.</t>
    </r>
    <r>
      <rPr>
        <sz val="10"/>
        <rFont val="Arial"/>
        <family val="2"/>
      </rPr>
      <t xml:space="preserve"> Usually will not be shown on historical financial statements. Will appear on broker projections</t>
    </r>
  </si>
  <si>
    <t>Income from passing through utility costs to the residents</t>
  </si>
  <si>
    <t>Other income. Would include storage income</t>
  </si>
  <si>
    <t>Enter this as a negative amount</t>
  </si>
  <si>
    <t>The BoaVida Group - Chart of Expense Accounts</t>
  </si>
  <si>
    <t>Acct#</t>
  </si>
  <si>
    <t>Name</t>
  </si>
  <si>
    <t>Description</t>
  </si>
  <si>
    <t>Actual wages paid. May or may not include benefits and payroll taxes</t>
  </si>
  <si>
    <t>Usually will not see these in historical financial statements</t>
  </si>
  <si>
    <t>Usually will not see this in historical financial statements</t>
  </si>
  <si>
    <t>This can be either / both electricity provided to the mobile home or electricity for common area items (like streetlights)</t>
  </si>
  <si>
    <t>This is usually expense for natural gas provided to the homes</t>
  </si>
  <si>
    <t>Expense for trash collection (can also be called rubbish or sanitation)</t>
  </si>
  <si>
    <t>Expense for sewer costs to the mobile home park</t>
  </si>
  <si>
    <t>Expense for water costs to the mobile home park</t>
  </si>
  <si>
    <t>Expenses for phone service and/or internet service for the park or the park office</t>
  </si>
  <si>
    <t>Miscellaneous travel services</t>
  </si>
  <si>
    <t>Repairs &amp; Maintenance / Capex Reserve</t>
  </si>
  <si>
    <t>This is a "reserve" account for future capital expenditures. We usually will not see this on historical financial statements</t>
  </si>
  <si>
    <t>Mainly expenses for repairs where an outside contractor (i.e. not a park employee) is used</t>
  </si>
  <si>
    <t>Mainly expenses for landcaping, etc where an outside contractor (i.e. not a park employee) is used</t>
  </si>
  <si>
    <t>This is a internal expense, and we will usually not see this on historical financial statements.</t>
  </si>
  <si>
    <t>Expenses for outside lawyers. Often will not be included on historical financial statements</t>
  </si>
  <si>
    <t>Expense for the ownership entity. Usually will not be included on historical financial statements.</t>
  </si>
  <si>
    <t>Expense for adverstising for the park. Often will not be included on historial financial statements.</t>
  </si>
  <si>
    <t>This may or may not be found on historical financial statements.</t>
  </si>
  <si>
    <t>This expense is usually related to license fees paid to government agencies and municipalities.</t>
  </si>
  <si>
    <t>These are bank fees and credit card fees. These often will not be included on historical financial statements.</t>
  </si>
  <si>
    <t>This account is kind of a "catch all" for other expenses (usually small)</t>
  </si>
  <si>
    <t>This expense is for 3rd party management and will often be called "Management Fee"</t>
  </si>
  <si>
    <t>LOI and Contract Fields</t>
  </si>
  <si>
    <t>ContractDate</t>
  </si>
  <si>
    <t>ParkName</t>
  </si>
  <si>
    <t>ParkAddress</t>
  </si>
  <si>
    <t>Buyer</t>
  </si>
  <si>
    <t>Seller</t>
  </si>
  <si>
    <t>PurchasePrice</t>
  </si>
  <si>
    <t>PurchasePriceWords</t>
  </si>
  <si>
    <t>Deposit</t>
  </si>
  <si>
    <t>DepositWords</t>
  </si>
  <si>
    <t>DownPayment</t>
  </si>
  <si>
    <t>DownPaymentWords</t>
  </si>
  <si>
    <t>DownPayment%</t>
  </si>
  <si>
    <t>Financing</t>
  </si>
  <si>
    <t>FinancingWords</t>
  </si>
  <si>
    <t>Financing%</t>
  </si>
  <si>
    <t>InspectionPeriod</t>
  </si>
  <si>
    <t>InspectionPeriodWords</t>
  </si>
  <si>
    <t>LoanContingency</t>
  </si>
  <si>
    <t>LoanContingencyWords</t>
  </si>
  <si>
    <t>COE</t>
  </si>
  <si>
    <t>COEWords</t>
  </si>
  <si>
    <t>ExpirationDate</t>
  </si>
  <si>
    <t>TitleCo</t>
  </si>
  <si>
    <t>GoverningState</t>
  </si>
  <si>
    <t>BrokerName</t>
  </si>
  <si>
    <t>Contract Date</t>
  </si>
  <si>
    <t>Park Name</t>
  </si>
  <si>
    <t>Park Address</t>
  </si>
  <si>
    <t>Elias Weiner</t>
  </si>
  <si>
    <t>Owner of Record</t>
  </si>
  <si>
    <t>Purchase Price Words</t>
  </si>
  <si>
    <t xml:space="preserve">One Million  </t>
  </si>
  <si>
    <t>Deposit Words</t>
  </si>
  <si>
    <t>Twenty Thousand</t>
  </si>
  <si>
    <t>Down Payment</t>
  </si>
  <si>
    <t>Down Payment Words</t>
  </si>
  <si>
    <t>Three Hundred Thousand</t>
  </si>
  <si>
    <t>Down Payment %</t>
  </si>
  <si>
    <t>Financing Words</t>
  </si>
  <si>
    <t>Seven Hundred Thousand</t>
  </si>
  <si>
    <t>Financing %</t>
  </si>
  <si>
    <t>Inspection Period</t>
  </si>
  <si>
    <t>Inspection Period Words</t>
  </si>
  <si>
    <t>Forty-Five</t>
  </si>
  <si>
    <t>Loan Contingency</t>
  </si>
  <si>
    <t>Loan Contingency Words</t>
  </si>
  <si>
    <t>Seventy-Five</t>
  </si>
  <si>
    <t>COE Words</t>
  </si>
  <si>
    <t>Ninety</t>
  </si>
  <si>
    <t>Expiration Date</t>
  </si>
  <si>
    <t>Title Company</t>
  </si>
  <si>
    <t>Old Republic Title</t>
  </si>
  <si>
    <t>Governing Law State</t>
  </si>
  <si>
    <t>California</t>
  </si>
  <si>
    <t>Broker Name</t>
  </si>
  <si>
    <t>Enter Broker Name Here</t>
  </si>
  <si>
    <t>PARTNERSHIP LEVEL RETURNS - EQUITY WATERFALL</t>
  </si>
  <si>
    <t>Promote Structure Method</t>
  </si>
  <si>
    <t>IRR</t>
  </si>
  <si>
    <t>Exit Year</t>
  </si>
  <si>
    <t>Return of Capital</t>
  </si>
  <si>
    <t>Pari Passu</t>
  </si>
  <si>
    <t>Refi Year</t>
  </si>
  <si>
    <t>Do not refi in exit year</t>
  </si>
  <si>
    <t>Equity Contributions</t>
  </si>
  <si>
    <t>%</t>
  </si>
  <si>
    <t>Amount</t>
  </si>
  <si>
    <t>Exit Cap Rate</t>
  </si>
  <si>
    <t>matches refi rate on proforma</t>
  </si>
  <si>
    <t>GP</t>
  </si>
  <si>
    <t>Error Check:</t>
  </si>
  <si>
    <t>LP Investors</t>
  </si>
  <si>
    <t>Profit Dist.:</t>
  </si>
  <si>
    <t>Total Equity</t>
  </si>
  <si>
    <t>Net BTCF:</t>
  </si>
  <si>
    <t>Promote Structure Incentive Breakdown</t>
  </si>
  <si>
    <t>Distribution as %</t>
  </si>
  <si>
    <t>GP %</t>
  </si>
  <si>
    <t>LP %</t>
  </si>
  <si>
    <t>Hurdle 1 (Preferred Return)</t>
  </si>
  <si>
    <t>Equity Multiple</t>
  </si>
  <si>
    <t>Pref</t>
  </si>
  <si>
    <t>GP Promote</t>
  </si>
  <si>
    <t>Hurdle 2</t>
  </si>
  <si>
    <t>Hurdle 3</t>
  </si>
  <si>
    <t>Hurdle 4</t>
  </si>
  <si>
    <t>Summary of Investor Level Returns</t>
  </si>
  <si>
    <t>Limited Partner (LP) Returns</t>
  </si>
  <si>
    <t>Total LP Distributions</t>
  </si>
  <si>
    <t>Total LP Contributions</t>
  </si>
  <si>
    <t>Total LP Profit</t>
  </si>
  <si>
    <t>LP IRR</t>
  </si>
  <si>
    <t>LP Equity Multiple</t>
  </si>
  <si>
    <t>GP Returns</t>
  </si>
  <si>
    <t>Total GP Distributions (Co-Inv. &amp; Promote)</t>
  </si>
  <si>
    <t>Total GP Co-Invest Distributions</t>
  </si>
  <si>
    <t>Total GP Promote Distributions</t>
  </si>
  <si>
    <t>Total GP Fees</t>
  </si>
  <si>
    <t>Total GP Contributions</t>
  </si>
  <si>
    <t>Total GP Profit</t>
  </si>
  <si>
    <t>GP IRR</t>
  </si>
  <si>
    <t>GP Equity Multiple</t>
  </si>
  <si>
    <t>Net Cash Flow For Distribution</t>
  </si>
  <si>
    <t>Year Ending</t>
  </si>
  <si>
    <t>Net Levered Before Tax Cash Flow</t>
  </si>
  <si>
    <t>Asset Management Fees</t>
  </si>
  <si>
    <t>Acquisition Fees</t>
  </si>
  <si>
    <t>Disposition Fees</t>
  </si>
  <si>
    <t>CS (Investor Fee)</t>
  </si>
  <si>
    <t># of investors ($200/yr)</t>
  </si>
  <si>
    <t>CS (Solution Deployment Fee)</t>
  </si>
  <si>
    <t>Sales Commission (Expense)</t>
  </si>
  <si>
    <t>Closing Cost (Expense)</t>
  </si>
  <si>
    <t>Adjusted Levered Before Tax Cash Flow</t>
  </si>
  <si>
    <t>Levered IRR</t>
  </si>
  <si>
    <t>Return of Capital &amp; Hurdle 1 (Preferred Return)</t>
  </si>
  <si>
    <t>Return Threshold - Up to:</t>
  </si>
  <si>
    <t>Beginning Balance (LP Capital Account)</t>
  </si>
  <si>
    <t>LP Return of Capital</t>
  </si>
  <si>
    <t>Req'd Return by LP to hit Hurdle 1</t>
  </si>
  <si>
    <t>Contributions from LP</t>
  </si>
  <si>
    <t>Distributions to LP (Hurdle 1)</t>
  </si>
  <si>
    <t>Ending Balance (LP Capital Account)</t>
  </si>
  <si>
    <t>Distribution to LP</t>
  </si>
  <si>
    <t>Beginning Balance (GP Capital Account)</t>
  </si>
  <si>
    <t>Req'd Return by GP (Pref)</t>
  </si>
  <si>
    <t>Contributions from GP</t>
  </si>
  <si>
    <t>Distribution to GP</t>
  </si>
  <si>
    <t>Ending Balance (GP Capital Account)</t>
  </si>
  <si>
    <t>Cash Flow Remaining</t>
  </si>
  <si>
    <t>Req'd Return by LP to hit Hurdle 2</t>
  </si>
  <si>
    <t>Prior Distributions</t>
  </si>
  <si>
    <t>.</t>
  </si>
  <si>
    <t>Req'd Return by LP to hit Hurdle 3</t>
  </si>
  <si>
    <t>Return Threshold - Greater than: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</si>
</sst>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 numFmtId="167" formatCode="0.000000%"/>
    <numFmt numFmtId="168" formatCode="0.000000000%"/>
    <numFmt numFmtId="169" formatCode="0%\ &quot;LTV&quot;"/>
    <numFmt numFmtId="170" formatCode="_-&quot;$&quot;* #,##0_-;\-&quot;$&quot;* #,##0_-;_-&quot;$&quot;* &quot;-&quot;??_-;_-@_-"/>
    <numFmt numFmtId="171" formatCode="0.0&quot;x&quot;"/>
    <numFmt numFmtId="172" formatCode="&quot;Year&quot;\ 0"/>
    <numFmt numFmtId="173" formatCode="0.0"/>
    <numFmt numFmtId="174" formatCode="_(&quot;$&quot;* #,##0_);_(&quot;$&quot;* \(#,##0\);_(&quot;$&quot;* &quot;-&quot;?_);_(@_)"/>
    <numFmt numFmtId="175" formatCode="&quot;Vac. Sp=&quot;0.0"/>
    <numFmt numFmtId="176" formatCode="#,##0.0"/>
    <numFmt numFmtId="177" formatCode="[$-409]mmmm\ d\,\ yyyy;@"/>
    <numFmt numFmtId="178" formatCode="&quot;$&quot;#,##0"/>
    <numFmt numFmtId="179" formatCode="0.00&quot;X&quot;"/>
    <numFmt numFmtId="180" formatCode="&quot;v&quot;0.00"/>
    <numFmt numFmtId="181" formatCode="0.000&quot;MM&quot;"/>
    <numFmt numFmtId="182" formatCode="&quot; Up to &quot;0.0%\ \I\R\R&quot; to LP&quot;"/>
    <numFmt numFmtId="183" formatCode="&quot;&gt;&quot;\ 0.00&quot;X EM to LP&quot;"/>
    <numFmt numFmtId="184" formatCode="&quot;&gt;&quot;\ 0.0%\ \I\R\R&quot; to LP&quot;"/>
    <numFmt numFmtId="185" formatCode="&quot; up to &quot;0.0%\ \I\R\R&quot; to LP&quot;"/>
    <numFmt numFmtId="186" formatCode="0.00&quot;x&quot;"/>
    <numFmt numFmtId="187" formatCode="[$-409]d\-mmm\-yy;@"/>
    <numFmt numFmtId="188" formatCode="&quot;IRR Error Check -&quot;\ 0.0%"/>
    <numFmt numFmtId="189" formatCode="&quot;$&quot;#,##0.00"/>
    <numFmt numFmtId="190" formatCode="#,##0.00\x"/>
    <numFmt numFmtId="191" formatCode="0.000000000000000"/>
    <numFmt numFmtId="192" formatCode="&quot;Cap Rate &quot;0.00%"/>
    <numFmt numFmtId="193" formatCode="&quot;$/Pad $&quot;###,###"/>
    <numFmt numFmtId="194" formatCode="&quot;$/Home $&quot;###,###"/>
    <numFmt numFmtId="195" formatCode="&quot;$/Occ. $&quot;###,###"/>
    <numFmt numFmtId="196" formatCode="&quot;Ratio &quot;0.000%"/>
  </numFmts>
  <fonts count="124" x14ac:knownFonts="1">
    <font>
      <sz val="10"/>
      <name val="Arial"/>
    </font>
    <font>
      <sz val="10"/>
      <name val="Arial"/>
      <family val="2"/>
    </font>
    <font>
      <sz val="11"/>
      <color theme="1"/>
      <name val="Calibri"/>
      <family val="2"/>
      <scheme val="minor"/>
    </font>
    <font>
      <sz val="10"/>
      <name val="Arial"/>
      <family val="2"/>
    </font>
    <font>
      <sz val="11"/>
      <color theme="1"/>
      <name val="Calibri"/>
      <family val="2"/>
      <scheme val="minor"/>
    </font>
    <font>
      <sz val="10"/>
      <color theme="1"/>
      <name val="Arial"/>
      <family val="2"/>
    </font>
    <font>
      <sz val="11"/>
      <color theme="1"/>
      <name val="Calibri"/>
      <family val="2"/>
      <scheme val="minor"/>
    </font>
    <font>
      <sz val="10"/>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sz val="9"/>
      <name val="Arial"/>
      <family val="2"/>
    </font>
    <font>
      <sz val="10"/>
      <color rgb="FF0000FF"/>
      <name val="Arial"/>
      <family val="2"/>
    </font>
    <font>
      <i/>
      <sz val="9"/>
      <name val="Arial"/>
      <family val="2"/>
    </font>
    <font>
      <sz val="11"/>
      <name val="Calibri"/>
      <family val="2"/>
    </font>
    <font>
      <b/>
      <sz val="11"/>
      <color theme="0"/>
      <name val="Arial"/>
      <family val="2"/>
    </font>
    <font>
      <b/>
      <sz val="10"/>
      <color theme="0"/>
      <name val="Arial"/>
      <family val="2"/>
    </font>
    <font>
      <sz val="10"/>
      <color theme="0"/>
      <name val="Arial"/>
      <family val="2"/>
    </font>
    <font>
      <b/>
      <sz val="10"/>
      <color theme="1"/>
      <name val="Arial"/>
      <family val="2"/>
    </font>
    <font>
      <i/>
      <sz val="8"/>
      <name val="Arial"/>
      <family val="2"/>
    </font>
    <font>
      <b/>
      <i/>
      <sz val="9"/>
      <name val="Arial"/>
      <family val="2"/>
    </font>
    <font>
      <i/>
      <u val="singleAccounting"/>
      <sz val="9"/>
      <name val="Arial"/>
      <family val="2"/>
    </font>
    <font>
      <i/>
      <u/>
      <sz val="9"/>
      <name val="Arial"/>
      <family val="2"/>
    </font>
    <font>
      <sz val="11"/>
      <color theme="1"/>
      <name val="Arial"/>
      <family val="2"/>
    </font>
    <font>
      <sz val="11"/>
      <name val="Calibri"/>
      <family val="2"/>
      <scheme val="minor"/>
    </font>
    <font>
      <i/>
      <sz val="10"/>
      <name val="Arial"/>
      <family val="2"/>
    </font>
    <font>
      <sz val="10"/>
      <color theme="4"/>
      <name val="Arial"/>
      <family val="2"/>
    </font>
    <font>
      <b/>
      <i/>
      <sz val="8"/>
      <name val="Arial"/>
      <family val="2"/>
    </font>
    <font>
      <sz val="10"/>
      <color theme="1" tint="0.499984740745262"/>
      <name val="Arial"/>
      <family val="2"/>
    </font>
    <font>
      <sz val="10"/>
      <name val="Calibri"/>
      <family val="2"/>
      <scheme val="minor"/>
    </font>
    <font>
      <sz val="10"/>
      <color rgb="FF000000"/>
      <name val="Times New Roman"/>
      <family val="1"/>
    </font>
    <font>
      <sz val="11"/>
      <name val="Arial"/>
      <family val="2"/>
    </font>
    <font>
      <b/>
      <sz val="11"/>
      <name val="Arial"/>
      <family val="2"/>
    </font>
    <font>
      <b/>
      <sz val="14"/>
      <color theme="0"/>
      <name val="Arial"/>
      <family val="2"/>
    </font>
    <font>
      <b/>
      <sz val="11"/>
      <name val="Calibri"/>
      <family val="2"/>
      <scheme val="minor"/>
    </font>
    <font>
      <b/>
      <sz val="11"/>
      <color rgb="FFC00000"/>
      <name val="Calibri"/>
      <family val="2"/>
      <scheme val="minor"/>
    </font>
    <font>
      <b/>
      <i/>
      <sz val="11"/>
      <color rgb="FFC00000"/>
      <name val="Calibri"/>
      <family val="2"/>
      <scheme val="minor"/>
    </font>
    <font>
      <i/>
      <sz val="9"/>
      <name val="Calibri"/>
      <family val="2"/>
      <scheme val="minor"/>
    </font>
    <font>
      <b/>
      <sz val="10"/>
      <name val="Calibri"/>
      <family val="2"/>
      <scheme val="minor"/>
    </font>
    <font>
      <b/>
      <u/>
      <sz val="11"/>
      <name val="Calibri"/>
      <family val="2"/>
    </font>
    <font>
      <b/>
      <sz val="10"/>
      <name val="Calibri"/>
      <family val="2"/>
    </font>
    <font>
      <u val="singleAccounting"/>
      <sz val="10"/>
      <name val="Calibri"/>
      <family val="2"/>
      <scheme val="minor"/>
    </font>
    <font>
      <b/>
      <sz val="10"/>
      <color rgb="FFFFFF00"/>
      <name val="Arial"/>
      <family val="2"/>
    </font>
    <font>
      <b/>
      <i/>
      <sz val="9"/>
      <color theme="0"/>
      <name val="Arial"/>
      <family val="2"/>
    </font>
    <font>
      <b/>
      <sz val="11"/>
      <color rgb="FFFFFF00"/>
      <name val="Arial"/>
      <family val="2"/>
    </font>
    <font>
      <sz val="9"/>
      <color indexed="81"/>
      <name val="Tahoma"/>
      <family val="2"/>
    </font>
    <font>
      <b/>
      <sz val="9"/>
      <color indexed="81"/>
      <name val="Tahoma"/>
      <family val="2"/>
    </font>
    <font>
      <u/>
      <sz val="10"/>
      <color theme="10"/>
      <name val="Arial"/>
      <family val="2"/>
    </font>
    <font>
      <sz val="10"/>
      <color rgb="FF7030A0"/>
      <name val="Arial"/>
      <family val="2"/>
    </font>
    <font>
      <b/>
      <sz val="11"/>
      <color theme="0"/>
      <name val="Calibri"/>
      <family val="2"/>
      <scheme val="minor"/>
    </font>
    <font>
      <sz val="11"/>
      <color theme="0"/>
      <name val="Calibri"/>
      <family val="2"/>
      <scheme val="minor"/>
    </font>
    <font>
      <b/>
      <sz val="9"/>
      <name val="Arial"/>
      <family val="2"/>
    </font>
    <font>
      <sz val="11"/>
      <color rgb="FFFF0000"/>
      <name val="Calibri"/>
      <family val="2"/>
      <scheme val="minor"/>
    </font>
    <font>
      <b/>
      <sz val="11"/>
      <color theme="1"/>
      <name val="Calibri"/>
      <family val="2"/>
      <scheme val="minor"/>
    </font>
    <font>
      <b/>
      <sz val="11"/>
      <color theme="4"/>
      <name val="Calibri"/>
      <family val="2"/>
      <scheme val="minor"/>
    </font>
    <font>
      <i/>
      <sz val="11"/>
      <color theme="1"/>
      <name val="Calibri"/>
      <family val="2"/>
      <scheme val="minor"/>
    </font>
    <font>
      <i/>
      <sz val="11"/>
      <color rgb="FF7030A0"/>
      <name val="Calibri"/>
      <family val="2"/>
      <scheme val="minor"/>
    </font>
    <font>
      <b/>
      <i/>
      <sz val="11"/>
      <color rgb="FF7030A0"/>
      <name val="Calibri"/>
      <family val="2"/>
      <scheme val="minor"/>
    </font>
    <font>
      <sz val="11"/>
      <color rgb="FF7030A0"/>
      <name val="Calibri"/>
      <family val="2"/>
      <scheme val="minor"/>
    </font>
    <font>
      <sz val="9"/>
      <color theme="9" tint="-0.249977111117893"/>
      <name val="Calibri"/>
      <family val="2"/>
      <scheme val="minor"/>
    </font>
    <font>
      <sz val="9"/>
      <color theme="9" tint="-0.249977111117893"/>
      <name val="Arial"/>
      <family val="2"/>
    </font>
    <font>
      <sz val="9"/>
      <name val="Calibri"/>
      <family val="2"/>
      <scheme val="minor"/>
    </font>
    <font>
      <sz val="11"/>
      <color theme="9" tint="-0.249977111117893"/>
      <name val="Calibri"/>
      <family val="2"/>
      <scheme val="minor"/>
    </font>
    <font>
      <sz val="9"/>
      <color rgb="FF7030A0"/>
      <name val="Calibri"/>
      <family val="2"/>
      <scheme val="minor"/>
    </font>
    <font>
      <b/>
      <i/>
      <sz val="8"/>
      <color theme="0"/>
      <name val="Arial"/>
      <family val="2"/>
    </font>
    <font>
      <b/>
      <i/>
      <sz val="11"/>
      <color theme="1"/>
      <name val="Calibri"/>
      <family val="2"/>
      <scheme val="minor"/>
    </font>
    <font>
      <i/>
      <sz val="6"/>
      <color theme="0"/>
      <name val="Arial"/>
      <family val="2"/>
    </font>
    <font>
      <sz val="10"/>
      <color theme="3" tint="-0.249977111117893"/>
      <name val="Arial"/>
      <family val="2"/>
    </font>
    <font>
      <b/>
      <sz val="10"/>
      <color rgb="FFFF0000"/>
      <name val="Arial"/>
      <family val="2"/>
    </font>
    <font>
      <sz val="11"/>
      <name val="Arial"/>
      <family val="1"/>
    </font>
    <font>
      <sz val="11"/>
      <color indexed="8"/>
      <name val="Calibri"/>
      <family val="2"/>
      <scheme val="minor"/>
    </font>
    <font>
      <i/>
      <sz val="8"/>
      <color theme="4" tint="-0.249977111117893"/>
      <name val="Arial"/>
      <family val="2"/>
    </font>
    <font>
      <b/>
      <i/>
      <u/>
      <sz val="10"/>
      <name val="Arial"/>
      <family val="2"/>
    </font>
    <font>
      <i/>
      <sz val="9"/>
      <color theme="4" tint="-0.249977111117893"/>
      <name val="Arial"/>
      <family val="2"/>
    </font>
    <font>
      <i/>
      <sz val="8"/>
      <color rgb="FFFF0000"/>
      <name val="Arial"/>
      <family val="2"/>
    </font>
    <font>
      <i/>
      <sz val="10"/>
      <color rgb="FF0000FF"/>
      <name val="Arial"/>
      <family val="2"/>
    </font>
    <font>
      <sz val="10"/>
      <color theme="0" tint="-0.14999847407452621"/>
      <name val="Arial"/>
      <family val="2"/>
    </font>
    <font>
      <i/>
      <sz val="10"/>
      <color theme="0" tint="-0.14999847407452621"/>
      <name val="Arial"/>
      <family val="2"/>
    </font>
    <font>
      <b/>
      <sz val="14"/>
      <color theme="0"/>
      <name val="Calibri"/>
      <family val="2"/>
      <scheme val="minor"/>
    </font>
    <font>
      <b/>
      <sz val="12"/>
      <name val="Calibri"/>
      <family val="2"/>
      <scheme val="minor"/>
    </font>
    <font>
      <sz val="11"/>
      <color indexed="12"/>
      <name val="Calibri"/>
      <family val="2"/>
      <scheme val="minor"/>
    </font>
    <font>
      <u/>
      <sz val="11"/>
      <name val="Calibri"/>
      <family val="2"/>
      <scheme val="minor"/>
    </font>
    <font>
      <b/>
      <sz val="12"/>
      <color theme="1"/>
      <name val="Calibri"/>
      <family val="2"/>
      <scheme val="minor"/>
    </font>
    <font>
      <sz val="9"/>
      <color theme="1"/>
      <name val="Calibri"/>
      <family val="2"/>
      <scheme val="minor"/>
    </font>
    <font>
      <b/>
      <sz val="9"/>
      <color rgb="FFFF0000"/>
      <name val="Calibri"/>
      <family val="2"/>
      <scheme val="minor"/>
    </font>
    <font>
      <b/>
      <u/>
      <sz val="11"/>
      <color theme="1"/>
      <name val="Calibri"/>
      <family val="2"/>
      <scheme val="minor"/>
    </font>
    <font>
      <u/>
      <sz val="11"/>
      <color theme="1"/>
      <name val="Calibri"/>
      <family val="2"/>
      <scheme val="minor"/>
    </font>
    <font>
      <b/>
      <u/>
      <sz val="11"/>
      <name val="Calibri"/>
      <family val="2"/>
      <scheme val="minor"/>
    </font>
    <font>
      <sz val="11"/>
      <color rgb="FF124579"/>
      <name val="Calibri"/>
      <family val="2"/>
      <scheme val="minor"/>
    </font>
    <font>
      <sz val="10"/>
      <color rgb="FF124579"/>
      <name val="Arial"/>
      <family val="2"/>
    </font>
    <font>
      <b/>
      <sz val="9"/>
      <name val="Calibri"/>
      <family val="2"/>
      <scheme val="minor"/>
    </font>
    <font>
      <i/>
      <sz val="10"/>
      <color rgb="FFFF0000"/>
      <name val="Calibri"/>
      <family val="2"/>
      <scheme val="minor"/>
    </font>
    <font>
      <sz val="9"/>
      <color theme="4" tint="-0.499984740745262"/>
      <name val="Arial"/>
      <family val="2"/>
    </font>
    <font>
      <i/>
      <sz val="9"/>
      <color theme="4" tint="-0.499984740745262"/>
      <name val="Arial"/>
      <family val="2"/>
    </font>
    <font>
      <sz val="9"/>
      <color theme="9" tint="-0.499984740745262"/>
      <name val="Arial"/>
      <family val="2"/>
    </font>
    <font>
      <sz val="9"/>
      <color theme="0"/>
      <name val="Calibri"/>
      <family val="2"/>
      <scheme val="minor"/>
    </font>
    <font>
      <sz val="9"/>
      <color theme="1"/>
      <name val="Arial"/>
      <family val="2"/>
    </font>
    <font>
      <b/>
      <sz val="9"/>
      <color theme="0"/>
      <name val="Calibri"/>
      <family val="2"/>
      <scheme val="minor"/>
    </font>
    <font>
      <i/>
      <sz val="9"/>
      <color theme="3"/>
      <name val="Arial"/>
      <family val="2"/>
    </font>
    <font>
      <sz val="9"/>
      <color theme="3"/>
      <name val="Arial"/>
      <family val="2"/>
    </font>
    <font>
      <u/>
      <sz val="11"/>
      <color theme="10"/>
      <name val="Calibri"/>
      <family val="2"/>
      <scheme val="minor"/>
    </font>
    <font>
      <u/>
      <sz val="11"/>
      <color theme="0"/>
      <name val="Calibri"/>
      <family val="2"/>
      <scheme val="minor"/>
    </font>
    <font>
      <i/>
      <sz val="10"/>
      <color theme="1"/>
      <name val="Calibri"/>
      <family val="2"/>
      <scheme val="minor"/>
    </font>
    <font>
      <sz val="11"/>
      <color rgb="FF0000FF"/>
      <name val="Calibri"/>
      <family val="2"/>
      <scheme val="minor"/>
    </font>
    <font>
      <sz val="10"/>
      <color theme="1"/>
      <name val="Calibri"/>
      <family val="2"/>
      <scheme val="minor"/>
    </font>
    <font>
      <u/>
      <sz val="10"/>
      <name val="Arial"/>
      <family val="2"/>
    </font>
    <font>
      <sz val="10"/>
      <color rgb="FF00B0F0"/>
      <name val="Arial"/>
      <family val="2"/>
    </font>
    <font>
      <sz val="8"/>
      <name val="Arial"/>
      <family val="2"/>
    </font>
    <font>
      <u val="singleAccounting"/>
      <sz val="9"/>
      <name val="Arial"/>
      <family val="2"/>
    </font>
    <font>
      <u/>
      <sz val="9"/>
      <name val="Arial"/>
      <family val="2"/>
    </font>
    <font>
      <sz val="8"/>
      <color theme="4" tint="-0.249977111117893"/>
      <name val="Arial"/>
      <family val="2"/>
    </font>
    <font>
      <b/>
      <sz val="11"/>
      <color rgb="FF202122"/>
      <name val="Arial"/>
      <family val="2"/>
    </font>
    <font>
      <b/>
      <sz val="9"/>
      <color rgb="FF202122"/>
      <name val="Arial"/>
      <family val="2"/>
    </font>
    <font>
      <sz val="10"/>
      <color rgb="FF202122"/>
      <name val="Arial"/>
      <family val="2"/>
    </font>
    <font>
      <b/>
      <sz val="10"/>
      <color rgb="FF202122"/>
      <name val="Arial"/>
      <family val="2"/>
    </font>
    <font>
      <sz val="8"/>
      <color rgb="FF202122"/>
      <name val="Arial"/>
      <family val="2"/>
    </font>
    <font>
      <i/>
      <sz val="8"/>
      <color rgb="FF3366BB"/>
      <name val="Arial"/>
      <family val="2"/>
    </font>
    <font>
      <i/>
      <sz val="8"/>
      <color rgb="FF202122"/>
      <name val="Arial"/>
      <family val="2"/>
    </font>
    <font>
      <i/>
      <sz val="8"/>
      <color rgb="FF0645AD"/>
      <name val="Arial"/>
      <family val="2"/>
    </font>
    <font>
      <sz val="8"/>
      <color rgb="FF3366BB"/>
      <name val="Arial"/>
      <family val="2"/>
    </font>
  </fonts>
  <fills count="33">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9" tint="0.79998168889431442"/>
        <bgColor indexed="64"/>
      </patternFill>
    </fill>
    <fill>
      <patternFill patternType="solid">
        <fgColor theme="3" tint="-0.249977111117893"/>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indexed="63"/>
        <bgColor indexed="64"/>
      </patternFill>
    </fill>
    <fill>
      <patternFill patternType="solid">
        <fgColor indexed="57"/>
        <bgColor indexed="64"/>
      </patternFill>
    </fill>
    <fill>
      <patternFill patternType="solid">
        <fgColor theme="3" tint="0.79998168889431442"/>
        <bgColor indexed="64"/>
      </patternFill>
    </fill>
    <fill>
      <patternFill patternType="solid">
        <fgColor theme="0"/>
        <bgColor indexed="64"/>
      </patternFill>
    </fill>
    <fill>
      <patternFill patternType="solid">
        <fgColor theme="1" tint="0.34998626667073579"/>
        <bgColor indexed="64"/>
      </patternFill>
    </fill>
    <fill>
      <patternFill patternType="solid">
        <fgColor theme="9"/>
      </patternFill>
    </fill>
    <fill>
      <patternFill patternType="solid">
        <fgColor theme="4"/>
      </patternFill>
    </fill>
    <fill>
      <patternFill patternType="solid">
        <fgColor theme="4" tint="0.59999389629810485"/>
        <bgColor indexed="65"/>
      </patternFill>
    </fill>
    <fill>
      <patternFill patternType="solid">
        <fgColor indexed="22"/>
        <bgColor indexed="64"/>
      </patternFill>
    </fill>
    <fill>
      <patternFill patternType="solid">
        <fgColor theme="3" tint="-0.24994659260841701"/>
        <bgColor indexed="64"/>
      </patternFill>
    </fill>
    <fill>
      <patternFill patternType="solid">
        <fgColor rgb="FF002060"/>
        <bgColor indexed="64"/>
      </patternFill>
    </fill>
    <fill>
      <patternFill patternType="solid">
        <fgColor theme="4" tint="0.79998168889431442"/>
        <bgColor indexed="65"/>
      </patternFill>
    </fill>
    <fill>
      <patternFill patternType="solid">
        <fgColor theme="7"/>
      </patternFill>
    </fill>
    <fill>
      <patternFill patternType="solid">
        <fgColor theme="5" tint="-0.249977111117893"/>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9E42"/>
        <bgColor indexed="64"/>
      </patternFill>
    </fill>
    <fill>
      <patternFill patternType="solid">
        <fgColor rgb="FF124579"/>
        <bgColor indexed="64"/>
      </patternFill>
    </fill>
    <fill>
      <patternFill patternType="solid">
        <fgColor theme="6"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theme="4" tint="0.59999389629810485"/>
        <bgColor indexed="64"/>
      </patternFill>
    </fill>
    <fill>
      <patternFill patternType="solid">
        <fgColor theme="4"/>
        <bgColor indexed="64"/>
      </patternFill>
    </fill>
    <fill>
      <patternFill patternType="solid">
        <fgColor rgb="FFE6E6FA"/>
        <bgColor indexed="64"/>
      </patternFill>
    </fill>
    <fill>
      <patternFill patternType="solid">
        <fgColor rgb="FFF8F9FA"/>
        <bgColor indexed="64"/>
      </patternFill>
    </fill>
  </fills>
  <borders count="72">
    <border>
      <left/>
      <right/>
      <top/>
      <bottom/>
      <diagonal/>
    </border>
    <border>
      <left/>
      <right/>
      <top/>
      <bottom style="thin">
        <color auto="1"/>
      </bottom>
      <diagonal/>
    </border>
    <border>
      <left/>
      <right style="thin">
        <color auto="1"/>
      </right>
      <top/>
      <bottom/>
      <diagonal/>
    </border>
    <border>
      <left style="medium">
        <color auto="1"/>
      </left>
      <right/>
      <top/>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thin">
        <color auto="1"/>
      </right>
      <top/>
      <bottom style="thin">
        <color auto="1"/>
      </bottom>
      <diagonal/>
    </border>
    <border>
      <left style="thin">
        <color indexed="55"/>
      </left>
      <right style="thin">
        <color indexed="55"/>
      </right>
      <top style="thin">
        <color indexed="55"/>
      </top>
      <bottom style="thin">
        <color indexed="55"/>
      </bottom>
      <diagonal/>
    </border>
    <border>
      <left style="thin">
        <color indexed="58"/>
      </left>
      <right style="thin">
        <color indexed="58"/>
      </right>
      <top style="thin">
        <color indexed="58"/>
      </top>
      <bottom style="thin">
        <color indexed="58"/>
      </bottom>
      <diagonal/>
    </border>
    <border>
      <left style="medium">
        <color auto="1"/>
      </left>
      <right/>
      <top/>
      <bottom style="medium">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rgb="FFC00000"/>
      </left>
      <right style="medium">
        <color rgb="FFC00000"/>
      </right>
      <top style="medium">
        <color rgb="FFC00000"/>
      </top>
      <bottom style="medium">
        <color rgb="FFC00000"/>
      </bottom>
      <diagonal/>
    </border>
    <border>
      <left/>
      <right/>
      <top/>
      <bottom style="medium">
        <color auto="1"/>
      </bottom>
      <diagonal/>
    </border>
    <border>
      <left style="thin">
        <color indexed="64"/>
      </left>
      <right style="thin">
        <color indexed="64"/>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style="thin">
        <color indexed="64"/>
      </right>
      <top/>
      <bottom style="medium">
        <color auto="1"/>
      </bottom>
      <diagonal/>
    </border>
    <border>
      <left/>
      <right style="hair">
        <color auto="1"/>
      </right>
      <top/>
      <bottom/>
      <diagonal/>
    </border>
    <border>
      <left style="hair">
        <color auto="1"/>
      </left>
      <right/>
      <top/>
      <bottom/>
      <diagonal/>
    </border>
    <border>
      <left/>
      <right style="hair">
        <color auto="1"/>
      </right>
      <top/>
      <bottom style="thin">
        <color auto="1"/>
      </bottom>
      <diagonal/>
    </border>
    <border>
      <left style="hair">
        <color auto="1"/>
      </left>
      <right/>
      <top/>
      <bottom style="thin">
        <color auto="1"/>
      </bottom>
      <diagonal/>
    </border>
    <border>
      <left/>
      <right/>
      <top/>
      <bottom style="double">
        <color indexed="64"/>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top style="medium">
        <color theme="1" tint="0.499984740745262"/>
      </top>
      <bottom style="medium">
        <color auto="1"/>
      </bottom>
      <diagonal/>
    </border>
    <border>
      <left/>
      <right style="medium">
        <color theme="1" tint="0.499984740745262"/>
      </right>
      <top style="medium">
        <color theme="1" tint="0.499984740745262"/>
      </top>
      <bottom style="medium">
        <color indexed="64"/>
      </bottom>
      <diagonal/>
    </border>
    <border>
      <left/>
      <right style="medium">
        <color theme="1" tint="0.499984740745262"/>
      </right>
      <top/>
      <bottom/>
      <diagonal/>
    </border>
    <border>
      <left/>
      <right style="medium">
        <color theme="0" tint="-0.499984740745262"/>
      </right>
      <top/>
      <bottom/>
      <diagonal/>
    </border>
    <border>
      <left style="medium">
        <color theme="0" tint="-0.499984740745262"/>
      </left>
      <right/>
      <top/>
      <bottom/>
      <diagonal/>
    </border>
    <border>
      <left style="thin">
        <color theme="0" tint="-0.34998626667073579"/>
      </left>
      <right/>
      <top/>
      <bottom style="thin">
        <color indexed="64"/>
      </bottom>
      <diagonal/>
    </border>
    <border>
      <left style="medium">
        <color theme="0" tint="-0.499984740745262"/>
      </left>
      <right/>
      <top style="medium">
        <color theme="0" tint="-0.499984740745262"/>
      </top>
      <bottom/>
      <diagonal/>
    </border>
    <border>
      <left/>
      <right style="medium">
        <color theme="0" tint="-0.499984740745262"/>
      </right>
      <top style="medium">
        <color theme="0" tint="-0.499984740745262"/>
      </top>
      <bottom/>
      <diagonal/>
    </border>
    <border>
      <left style="medium">
        <color rgb="FFA2A9B1"/>
      </left>
      <right/>
      <top style="medium">
        <color rgb="FFA2A9B1"/>
      </top>
      <bottom/>
      <diagonal/>
    </border>
    <border>
      <left/>
      <right/>
      <top style="medium">
        <color rgb="FFA2A9B1"/>
      </top>
      <bottom/>
      <diagonal/>
    </border>
    <border>
      <left style="medium">
        <color rgb="FFA2A9B1"/>
      </left>
      <right/>
      <top/>
      <bottom style="medium">
        <color rgb="FF000000"/>
      </bottom>
      <diagonal/>
    </border>
    <border>
      <left/>
      <right/>
      <top/>
      <bottom style="medium">
        <color rgb="FF000000"/>
      </bottom>
      <diagonal/>
    </border>
    <border>
      <left/>
      <right style="medium">
        <color rgb="FFA2A9B1"/>
      </right>
      <top/>
      <bottom style="medium">
        <color rgb="FF000000"/>
      </bottom>
      <diagonal/>
    </border>
    <border>
      <left style="medium">
        <color rgb="FFA2A9B1"/>
      </left>
      <right/>
      <top/>
      <bottom/>
      <diagonal/>
    </border>
    <border>
      <left/>
      <right style="medium">
        <color rgb="FFA2A9B1"/>
      </right>
      <top/>
      <bottom/>
      <diagonal/>
    </border>
    <border>
      <left style="medium">
        <color rgb="FFA2A9B1"/>
      </left>
      <right/>
      <top/>
      <bottom style="medium">
        <color rgb="FFBBBBBB"/>
      </bottom>
      <diagonal/>
    </border>
    <border>
      <left/>
      <right/>
      <top/>
      <bottom style="medium">
        <color rgb="FFBBBBBB"/>
      </bottom>
      <diagonal/>
    </border>
    <border>
      <left/>
      <right style="medium">
        <color rgb="FFA2A9B1"/>
      </right>
      <top/>
      <bottom style="medium">
        <color rgb="FFBBBBBB"/>
      </bottom>
      <diagonal/>
    </border>
    <border>
      <left style="medium">
        <color rgb="FFA2A9B1"/>
      </left>
      <right/>
      <top style="medium">
        <color rgb="FF000000"/>
      </top>
      <bottom/>
      <diagonal/>
    </border>
    <border>
      <left/>
      <right/>
      <top style="medium">
        <color rgb="FF000000"/>
      </top>
      <bottom/>
      <diagonal/>
    </border>
    <border>
      <left/>
      <right style="medium">
        <color rgb="FFA2A9B1"/>
      </right>
      <top style="medium">
        <color rgb="FF000000"/>
      </top>
      <bottom/>
      <diagonal/>
    </border>
    <border>
      <left style="medium">
        <color rgb="FFA2A9B1"/>
      </left>
      <right/>
      <top/>
      <bottom style="medium">
        <color rgb="FFA2A9B1"/>
      </bottom>
      <diagonal/>
    </border>
    <border>
      <left/>
      <right/>
      <top/>
      <bottom style="medium">
        <color rgb="FFA2A9B1"/>
      </bottom>
      <diagonal/>
    </border>
    <border>
      <left/>
      <right style="medium">
        <color rgb="FFA2A9B1"/>
      </right>
      <top/>
      <bottom style="medium">
        <color rgb="FFA2A9B1"/>
      </bottom>
      <diagonal/>
    </border>
    <border>
      <left style="thin">
        <color auto="1"/>
      </left>
      <right style="thin">
        <color auto="1"/>
      </right>
      <top style="thin">
        <color auto="1"/>
      </top>
      <bottom style="thin">
        <color auto="1"/>
      </bottom>
      <diagonal/>
    </border>
    <border>
      <left/>
      <right/>
      <top style="thin">
        <color indexed="64"/>
      </top>
      <bottom style="double">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top style="thin">
        <color indexed="64"/>
      </top>
      <bottom/>
      <diagonal/>
    </border>
    <border>
      <left/>
      <right style="thin">
        <color auto="1"/>
      </right>
      <top style="thin">
        <color auto="1"/>
      </top>
      <bottom style="double">
        <color auto="1"/>
      </bottom>
      <diagonal/>
    </border>
    <border>
      <left style="thin">
        <color indexed="64"/>
      </left>
      <right style="thin">
        <color indexed="64"/>
      </right>
      <top style="thin">
        <color indexed="64"/>
      </top>
      <bottom/>
      <diagonal/>
    </border>
    <border>
      <left/>
      <right style="thick">
        <color theme="0"/>
      </right>
      <top style="thin">
        <color auto="1"/>
      </top>
      <bottom style="double">
        <color auto="1"/>
      </bottom>
      <diagonal/>
    </border>
    <border>
      <left style="thick">
        <color theme="0"/>
      </left>
      <right style="thick">
        <color theme="0"/>
      </right>
      <top style="thin">
        <color auto="1"/>
      </top>
      <bottom style="double">
        <color auto="1"/>
      </bottom>
      <diagonal/>
    </border>
    <border>
      <left style="thick">
        <color theme="0"/>
      </left>
      <right/>
      <top style="thin">
        <color auto="1"/>
      </top>
      <bottom style="double">
        <color auto="1"/>
      </bottom>
      <diagonal/>
    </border>
    <border>
      <left style="thick">
        <color theme="0"/>
      </left>
      <right style="thick">
        <color theme="0"/>
      </right>
      <top style="thin">
        <color auto="1"/>
      </top>
      <bottom/>
      <diagonal/>
    </border>
    <border>
      <left style="thin">
        <color auto="1"/>
      </left>
      <right style="thin">
        <color auto="1"/>
      </right>
      <top style="thin">
        <color auto="1"/>
      </top>
      <bottom style="thin">
        <color auto="1"/>
      </bottom>
      <diagonal/>
    </border>
    <border>
      <left style="hair">
        <color auto="1"/>
      </left>
      <right/>
      <top style="thin">
        <color auto="1"/>
      </top>
      <bottom/>
      <diagonal/>
    </border>
  </borders>
  <cellStyleXfs count="52">
    <xf numFmtId="0" fontId="0" fillId="0" borderId="0"/>
    <xf numFmtId="43"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9" fontId="12"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9" fontId="27" fillId="0" borderId="0" applyFont="0" applyFill="0" applyBorder="0" applyAlignment="0" applyProtection="0"/>
    <xf numFmtId="0" fontId="12" fillId="2" borderId="8" applyNumberFormat="0" applyFont="0" applyProtection="0">
      <alignment horizontal="left" vertical="center"/>
    </xf>
    <xf numFmtId="0" fontId="12" fillId="8" borderId="8" applyNumberFormat="0" applyFont="0" applyProtection="0">
      <alignment horizontal="left" vertical="center"/>
    </xf>
    <xf numFmtId="0" fontId="12" fillId="2" borderId="9" applyNumberFormat="0" applyFont="0" applyProtection="0">
      <alignment horizontal="left" vertical="center"/>
    </xf>
    <xf numFmtId="0" fontId="12" fillId="9" borderId="9" applyNumberFormat="0" applyFont="0" applyProtection="0">
      <alignment horizontal="left" vertical="center"/>
    </xf>
    <xf numFmtId="0" fontId="12" fillId="2" borderId="9" applyNumberFormat="0" applyFont="0" applyProtection="0">
      <alignment horizontal="left" vertical="center"/>
    </xf>
    <xf numFmtId="0" fontId="12" fillId="9" borderId="9" applyNumberFormat="0" applyFont="0" applyProtection="0">
      <alignment horizontal="left" vertical="center"/>
    </xf>
    <xf numFmtId="0" fontId="34" fillId="0" borderId="0"/>
    <xf numFmtId="43" fontId="34" fillId="0" borderId="0" applyFont="0" applyFill="0" applyBorder="0" applyAlignment="0" applyProtection="0"/>
    <xf numFmtId="0" fontId="51" fillId="0" borderId="0" applyNumberFormat="0" applyFill="0" applyBorder="0" applyAlignment="0" applyProtection="0"/>
    <xf numFmtId="0" fontId="54" fillId="13" borderId="0" applyNumberFormat="0" applyBorder="0" applyAlignment="0" applyProtection="0"/>
    <xf numFmtId="0" fontId="54" fillId="14" borderId="0" applyNumberFormat="0" applyBorder="0" applyAlignment="0" applyProtection="0"/>
    <xf numFmtId="0" fontId="11" fillId="15" borderId="0" applyNumberFormat="0" applyBorder="0" applyAlignment="0" applyProtection="0"/>
    <xf numFmtId="0" fontId="11" fillId="0" borderId="0"/>
    <xf numFmtId="0" fontId="73" fillId="0" borderId="0"/>
    <xf numFmtId="0" fontId="74" fillId="0" borderId="0"/>
    <xf numFmtId="44" fontId="73" fillId="0" borderId="0" applyFont="0" applyFill="0" applyBorder="0" applyAlignment="0" applyProtection="0"/>
    <xf numFmtId="0" fontId="10" fillId="19" borderId="0" applyNumberFormat="0" applyBorder="0" applyAlignment="0" applyProtection="0"/>
    <xf numFmtId="0" fontId="54" fillId="20" borderId="0" applyNumberFormat="0" applyBorder="0" applyAlignment="0" applyProtection="0"/>
    <xf numFmtId="0" fontId="9" fillId="0" borderId="0"/>
    <xf numFmtId="0" fontId="8" fillId="26" borderId="0" applyNumberFormat="0" applyBorder="0" applyAlignment="0" applyProtection="0"/>
    <xf numFmtId="0" fontId="6"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5" fillId="27" borderId="0" applyNumberFormat="0" applyBorder="0" applyAlignment="0" applyProtection="0"/>
    <xf numFmtId="0" fontId="4" fillId="0" borderId="0"/>
    <xf numFmtId="0" fontId="104" fillId="0" borderId="0" applyNumberFormat="0" applyFill="0" applyBorder="0" applyAlignment="0" applyProtection="0"/>
    <xf numFmtId="0" fontId="5"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cellStyleXfs>
  <cellXfs count="923">
    <xf numFmtId="0" fontId="0" fillId="0" borderId="0" xfId="0"/>
    <xf numFmtId="0" fontId="17" fillId="0" borderId="0" xfId="5" applyFont="1" applyAlignment="1">
      <alignment horizontal="left" indent="1"/>
    </xf>
    <xf numFmtId="6" fontId="18" fillId="0" borderId="6" xfId="0" applyNumberFormat="1" applyFont="1" applyBorder="1" applyAlignment="1">
      <alignment horizontal="center" vertical="center" wrapText="1"/>
    </xf>
    <xf numFmtId="10" fontId="18" fillId="0" borderId="4" xfId="0" applyNumberFormat="1" applyFont="1" applyBorder="1" applyAlignment="1">
      <alignment horizontal="center" vertical="center" wrapText="1"/>
    </xf>
    <xf numFmtId="0" fontId="18" fillId="0" borderId="0" xfId="0" applyFont="1" applyAlignment="1">
      <alignment horizontal="left" vertical="center"/>
    </xf>
    <xf numFmtId="0" fontId="18" fillId="0" borderId="0" xfId="0" applyFont="1" applyAlignment="1">
      <alignment horizontal="left" vertical="center" indent="2"/>
    </xf>
    <xf numFmtId="0" fontId="20" fillId="5" borderId="0" xfId="5" applyFont="1" applyFill="1" applyAlignment="1">
      <alignment horizontal="left"/>
    </xf>
    <xf numFmtId="0" fontId="12" fillId="0" borderId="0" xfId="5" applyFont="1"/>
    <xf numFmtId="0" fontId="22" fillId="0" borderId="0" xfId="5" applyFont="1"/>
    <xf numFmtId="0" fontId="17" fillId="0" borderId="0" xfId="0" applyFont="1"/>
    <xf numFmtId="0" fontId="12" fillId="0" borderId="0" xfId="0" applyFont="1"/>
    <xf numFmtId="0" fontId="14" fillId="0" borderId="0" xfId="0" applyFont="1"/>
    <xf numFmtId="165" fontId="12" fillId="0" borderId="0" xfId="1" applyNumberFormat="1"/>
    <xf numFmtId="166" fontId="12" fillId="0" borderId="0" xfId="2" applyNumberFormat="1"/>
    <xf numFmtId="0" fontId="23" fillId="0" borderId="0" xfId="0" applyFont="1" applyAlignment="1">
      <alignment horizontal="right"/>
    </xf>
    <xf numFmtId="44" fontId="12" fillId="0" borderId="0" xfId="2"/>
    <xf numFmtId="9" fontId="12" fillId="0" borderId="0" xfId="4"/>
    <xf numFmtId="0" fontId="17" fillId="0" borderId="0" xfId="0" applyFont="1" applyAlignment="1">
      <alignment horizontal="center"/>
    </xf>
    <xf numFmtId="165" fontId="12" fillId="0" borderId="0" xfId="1" applyNumberFormat="1" applyAlignment="1">
      <alignment horizontal="center"/>
    </xf>
    <xf numFmtId="166" fontId="14" fillId="0" borderId="0" xfId="5" applyNumberFormat="1" applyFont="1"/>
    <xf numFmtId="0" fontId="20" fillId="6" borderId="0" xfId="5" applyFont="1" applyFill="1" applyAlignment="1">
      <alignment horizontal="left"/>
    </xf>
    <xf numFmtId="0" fontId="20" fillId="6" borderId="0" xfId="5" applyFont="1" applyFill="1" applyAlignment="1">
      <alignment horizontal="center"/>
    </xf>
    <xf numFmtId="0" fontId="14" fillId="0" borderId="0" xfId="5" applyFont="1"/>
    <xf numFmtId="0" fontId="0" fillId="0" borderId="0" xfId="0" applyAlignment="1">
      <alignment horizontal="left" indent="2"/>
    </xf>
    <xf numFmtId="172" fontId="20" fillId="6" borderId="1" xfId="0" applyNumberFormat="1" applyFont="1" applyFill="1" applyBorder="1" applyAlignment="1">
      <alignment horizontal="center"/>
    </xf>
    <xf numFmtId="166" fontId="17" fillId="7" borderId="0" xfId="2" applyNumberFormat="1" applyFont="1" applyFill="1"/>
    <xf numFmtId="166" fontId="25" fillId="7" borderId="0" xfId="2" applyNumberFormat="1" applyFont="1" applyFill="1" applyAlignment="1">
      <alignment horizontal="center"/>
    </xf>
    <xf numFmtId="10" fontId="12" fillId="0" borderId="0" xfId="4" applyNumberFormat="1" applyAlignment="1">
      <alignment horizontal="center"/>
    </xf>
    <xf numFmtId="166" fontId="23" fillId="0" borderId="0" xfId="0" applyNumberFormat="1" applyFont="1"/>
    <xf numFmtId="0" fontId="12" fillId="0" borderId="0" xfId="10" applyAlignment="1">
      <alignment horizontal="left" indent="1"/>
    </xf>
    <xf numFmtId="0" fontId="20" fillId="5" borderId="0" xfId="5" applyFont="1" applyFill="1" applyAlignment="1">
      <alignment horizontal="center"/>
    </xf>
    <xf numFmtId="9" fontId="0" fillId="0" borderId="0" xfId="15" applyFont="1"/>
    <xf numFmtId="0" fontId="0" fillId="0" borderId="0" xfId="0" applyAlignment="1">
      <alignment horizontal="left" indent="1"/>
    </xf>
    <xf numFmtId="165" fontId="0" fillId="0" borderId="0" xfId="13" applyNumberFormat="1" applyFont="1"/>
    <xf numFmtId="173" fontId="23" fillId="0" borderId="0" xfId="0" applyNumberFormat="1" applyFont="1" applyAlignment="1">
      <alignment horizontal="right"/>
    </xf>
    <xf numFmtId="0" fontId="23" fillId="0" borderId="0" xfId="0" applyFont="1"/>
    <xf numFmtId="165" fontId="0" fillId="10" borderId="1" xfId="13" applyNumberFormat="1" applyFont="1" applyFill="1" applyBorder="1"/>
    <xf numFmtId="164" fontId="14" fillId="0" borderId="0" xfId="0" applyNumberFormat="1" applyFont="1"/>
    <xf numFmtId="164" fontId="17" fillId="0" borderId="0" xfId="7" applyNumberFormat="1" applyFont="1" applyAlignment="1">
      <alignment horizontal="right"/>
    </xf>
    <xf numFmtId="165" fontId="0" fillId="0" borderId="0" xfId="0" applyNumberFormat="1"/>
    <xf numFmtId="0" fontId="20" fillId="5" borderId="0" xfId="10" applyFont="1" applyFill="1" applyAlignment="1">
      <alignment horizontal="centerContinuous"/>
    </xf>
    <xf numFmtId="0" fontId="14" fillId="0" borderId="0" xfId="0" applyFont="1" applyAlignment="1">
      <alignment horizontal="left" indent="1"/>
    </xf>
    <xf numFmtId="0" fontId="20" fillId="5" borderId="0" xfId="10" applyFont="1" applyFill="1" applyAlignment="1">
      <alignment horizontal="left"/>
    </xf>
    <xf numFmtId="0" fontId="20" fillId="5" borderId="0" xfId="10" applyFont="1" applyFill="1" applyAlignment="1">
      <alignment horizontal="center"/>
    </xf>
    <xf numFmtId="0" fontId="12" fillId="0" borderId="0" xfId="10"/>
    <xf numFmtId="0" fontId="14" fillId="0" borderId="0" xfId="10" applyFont="1" applyAlignment="1">
      <alignment horizontal="left"/>
    </xf>
    <xf numFmtId="0" fontId="14" fillId="0" borderId="1" xfId="10" applyFont="1" applyBorder="1" applyAlignment="1">
      <alignment horizontal="center"/>
    </xf>
    <xf numFmtId="170" fontId="12" fillId="0" borderId="0" xfId="10" applyNumberFormat="1"/>
    <xf numFmtId="166" fontId="14" fillId="0" borderId="0" xfId="3" applyNumberFormat="1" applyFont="1" applyAlignment="1">
      <alignment horizontal="right"/>
    </xf>
    <xf numFmtId="0" fontId="14" fillId="0" borderId="0" xfId="10" applyFont="1" applyAlignment="1">
      <alignment horizontal="left" indent="1"/>
    </xf>
    <xf numFmtId="164" fontId="12" fillId="0" borderId="0" xfId="10" applyNumberFormat="1"/>
    <xf numFmtId="171" fontId="12" fillId="0" borderId="0" xfId="10" applyNumberFormat="1"/>
    <xf numFmtId="0" fontId="17" fillId="0" borderId="0" xfId="10" applyFont="1" applyAlignment="1">
      <alignment horizontal="left" indent="2"/>
    </xf>
    <xf numFmtId="10" fontId="17" fillId="0" borderId="0" xfId="10" applyNumberFormat="1" applyFont="1"/>
    <xf numFmtId="0" fontId="14" fillId="0" borderId="0" xfId="5" applyFont="1" applyAlignment="1">
      <alignment horizontal="left" indent="1"/>
    </xf>
    <xf numFmtId="169" fontId="15" fillId="0" borderId="0" xfId="7" applyNumberFormat="1" applyFont="1" applyAlignment="1">
      <alignment horizontal="left"/>
    </xf>
    <xf numFmtId="9" fontId="17" fillId="0" borderId="0" xfId="7" applyFont="1"/>
    <xf numFmtId="164" fontId="17" fillId="0" borderId="0" xfId="7" applyNumberFormat="1" applyFont="1"/>
    <xf numFmtId="170" fontId="14" fillId="0" borderId="0" xfId="5" applyNumberFormat="1" applyFont="1"/>
    <xf numFmtId="166" fontId="15" fillId="0" borderId="0" xfId="0" applyNumberFormat="1" applyFont="1"/>
    <xf numFmtId="0" fontId="15" fillId="0" borderId="0" xfId="0" applyFont="1"/>
    <xf numFmtId="0" fontId="14" fillId="0" borderId="1" xfId="5" applyFont="1" applyBorder="1"/>
    <xf numFmtId="0" fontId="14" fillId="0" borderId="1" xfId="5" applyFont="1" applyBorder="1" applyAlignment="1">
      <alignment horizontal="center"/>
    </xf>
    <xf numFmtId="0" fontId="23" fillId="0" borderId="0" xfId="0" applyFont="1" applyAlignment="1">
      <alignment horizontal="center"/>
    </xf>
    <xf numFmtId="0" fontId="14" fillId="0" borderId="1" xfId="0" applyFont="1" applyBorder="1" applyAlignment="1">
      <alignment horizontal="center"/>
    </xf>
    <xf numFmtId="6" fontId="18" fillId="0" borderId="4" xfId="0" applyNumberFormat="1" applyFont="1" applyBorder="1" applyAlignment="1">
      <alignment horizontal="center" vertical="center" wrapText="1"/>
    </xf>
    <xf numFmtId="0" fontId="33" fillId="0" borderId="0" xfId="0" applyFont="1"/>
    <xf numFmtId="0" fontId="18" fillId="0" borderId="0" xfId="0" applyFont="1" applyAlignment="1">
      <alignment vertical="center"/>
    </xf>
    <xf numFmtId="0" fontId="35" fillId="0" borderId="0" xfId="22" applyFont="1" applyAlignment="1">
      <alignment horizontal="left" vertical="top"/>
    </xf>
    <xf numFmtId="43" fontId="35" fillId="0" borderId="0" xfId="23" applyFont="1" applyAlignment="1">
      <alignment horizontal="left" vertical="top"/>
    </xf>
    <xf numFmtId="49" fontId="35" fillId="0" borderId="0" xfId="23" applyNumberFormat="1" applyFont="1" applyAlignment="1">
      <alignment horizontal="left" vertical="top"/>
    </xf>
    <xf numFmtId="49" fontId="36" fillId="0" borderId="0" xfId="23" applyNumberFormat="1" applyFont="1" applyAlignment="1">
      <alignment horizontal="left" vertical="top"/>
    </xf>
    <xf numFmtId="43" fontId="35" fillId="0" borderId="0" xfId="23" applyFont="1" applyAlignment="1">
      <alignment horizontal="left" vertical="top" wrapText="1"/>
    </xf>
    <xf numFmtId="49" fontId="35" fillId="0" borderId="0" xfId="23" applyNumberFormat="1" applyFont="1" applyAlignment="1">
      <alignment vertical="top" wrapText="1"/>
    </xf>
    <xf numFmtId="43" fontId="35" fillId="0" borderId="0" xfId="23" applyFont="1" applyAlignment="1">
      <alignment vertical="top" wrapText="1"/>
    </xf>
    <xf numFmtId="43" fontId="35" fillId="0" borderId="0" xfId="23" applyFont="1" applyAlignment="1">
      <alignment vertical="center" wrapText="1"/>
    </xf>
    <xf numFmtId="49" fontId="35" fillId="0" borderId="0" xfId="23" applyNumberFormat="1" applyFont="1" applyAlignment="1">
      <alignment horizontal="left" vertical="top" wrapText="1"/>
    </xf>
    <xf numFmtId="49" fontId="35" fillId="0" borderId="0" xfId="23" applyNumberFormat="1" applyFont="1" applyAlignment="1">
      <alignment vertical="center" wrapText="1"/>
    </xf>
    <xf numFmtId="1" fontId="35" fillId="0" borderId="0" xfId="23" applyNumberFormat="1" applyFont="1" applyAlignment="1">
      <alignment vertical="top" wrapText="1"/>
    </xf>
    <xf numFmtId="1" fontId="35" fillId="0" borderId="0" xfId="22" applyNumberFormat="1" applyFont="1" applyAlignment="1">
      <alignment horizontal="left" vertical="top"/>
    </xf>
    <xf numFmtId="165" fontId="35" fillId="0" borderId="0" xfId="23" applyNumberFormat="1" applyFont="1" applyAlignment="1">
      <alignment horizontal="left" vertical="top"/>
    </xf>
    <xf numFmtId="164" fontId="12" fillId="0" borderId="1" xfId="4" applyNumberFormat="1" applyBorder="1" applyAlignment="1">
      <alignment horizontal="center"/>
    </xf>
    <xf numFmtId="0" fontId="0" fillId="0" borderId="1" xfId="0" applyBorder="1"/>
    <xf numFmtId="0" fontId="0" fillId="0" borderId="0" xfId="0" applyAlignment="1">
      <alignment horizontal="right"/>
    </xf>
    <xf numFmtId="9" fontId="16" fillId="0" borderId="0" xfId="12" applyFont="1"/>
    <xf numFmtId="9" fontId="17" fillId="0" borderId="0" xfId="0" applyNumberFormat="1" applyFont="1" applyAlignment="1">
      <alignment wrapText="1"/>
    </xf>
    <xf numFmtId="9" fontId="14" fillId="0" borderId="0" xfId="0" applyNumberFormat="1" applyFont="1"/>
    <xf numFmtId="164" fontId="12" fillId="0" borderId="0" xfId="4" applyNumberFormat="1" applyAlignment="1">
      <alignment vertical="center"/>
    </xf>
    <xf numFmtId="0" fontId="0" fillId="12" borderId="0" xfId="0" applyFill="1"/>
    <xf numFmtId="0" fontId="37" fillId="12" borderId="0" xfId="0" applyFont="1" applyFill="1" applyAlignment="1">
      <alignment vertical="center"/>
    </xf>
    <xf numFmtId="0" fontId="20" fillId="12" borderId="0" xfId="0" applyFont="1" applyFill="1" applyAlignment="1">
      <alignment vertical="center"/>
    </xf>
    <xf numFmtId="0" fontId="37" fillId="5" borderId="14" xfId="10" applyFont="1" applyFill="1" applyBorder="1" applyAlignment="1">
      <alignment horizontal="left" indent="1"/>
    </xf>
    <xf numFmtId="0" fontId="20" fillId="5" borderId="15" xfId="10" applyFont="1" applyFill="1" applyBorder="1" applyAlignment="1">
      <alignment horizontal="left"/>
    </xf>
    <xf numFmtId="0" fontId="20" fillId="5" borderId="16" xfId="10" applyFont="1" applyFill="1" applyBorder="1" applyAlignment="1">
      <alignment horizontal="left"/>
    </xf>
    <xf numFmtId="0" fontId="12" fillId="0" borderId="3" xfId="10" applyBorder="1"/>
    <xf numFmtId="170" fontId="33" fillId="0" borderId="0" xfId="10" applyNumberFormat="1" applyFont="1"/>
    <xf numFmtId="165" fontId="33" fillId="0" borderId="0" xfId="1" applyNumberFormat="1" applyFont="1"/>
    <xf numFmtId="43" fontId="33" fillId="0" borderId="0" xfId="10" applyNumberFormat="1" applyFont="1"/>
    <xf numFmtId="0" fontId="33" fillId="0" borderId="0" xfId="10" applyFont="1" applyAlignment="1">
      <alignment horizontal="left" vertical="top" wrapText="1"/>
    </xf>
    <xf numFmtId="0" fontId="33" fillId="0" borderId="17" xfId="10" applyFont="1" applyBorder="1" applyAlignment="1">
      <alignment horizontal="left" vertical="top" wrapText="1"/>
    </xf>
    <xf numFmtId="166" fontId="33" fillId="0" borderId="0" xfId="0" applyNumberFormat="1" applyFont="1"/>
    <xf numFmtId="166" fontId="33" fillId="0" borderId="17" xfId="0" applyNumberFormat="1" applyFont="1" applyBorder="1"/>
    <xf numFmtId="164" fontId="41" fillId="0" borderId="0" xfId="4" applyNumberFormat="1" applyFont="1"/>
    <xf numFmtId="164" fontId="41" fillId="0" borderId="17" xfId="4" applyNumberFormat="1" applyFont="1" applyBorder="1"/>
    <xf numFmtId="0" fontId="33" fillId="0" borderId="17" xfId="0" applyFont="1" applyBorder="1"/>
    <xf numFmtId="166" fontId="33" fillId="0" borderId="0" xfId="2" applyNumberFormat="1" applyFont="1"/>
    <xf numFmtId="166" fontId="33" fillId="0" borderId="17" xfId="2" applyNumberFormat="1" applyFont="1" applyBorder="1"/>
    <xf numFmtId="0" fontId="0" fillId="0" borderId="19" xfId="0" applyBorder="1"/>
    <xf numFmtId="166" fontId="32" fillId="0" borderId="0" xfId="2" applyNumberFormat="1" applyFont="1"/>
    <xf numFmtId="10" fontId="33" fillId="0" borderId="0" xfId="4" applyNumberFormat="1" applyFont="1"/>
    <xf numFmtId="0" fontId="42" fillId="0" borderId="3" xfId="0" applyFont="1" applyBorder="1" applyAlignment="1">
      <alignment horizontal="left" indent="1"/>
    </xf>
    <xf numFmtId="0" fontId="42" fillId="0" borderId="0" xfId="0" applyFont="1" applyAlignment="1">
      <alignment horizontal="right"/>
    </xf>
    <xf numFmtId="0" fontId="42" fillId="0" borderId="17" xfId="0" applyFont="1" applyBorder="1" applyAlignment="1">
      <alignment horizontal="left"/>
    </xf>
    <xf numFmtId="0" fontId="42" fillId="0" borderId="3" xfId="10" applyFont="1" applyBorder="1" applyAlignment="1">
      <alignment horizontal="left" indent="1"/>
    </xf>
    <xf numFmtId="0" fontId="42" fillId="0" borderId="3" xfId="10" applyFont="1" applyBorder="1" applyAlignment="1">
      <alignment horizontal="left" vertical="top" indent="1"/>
    </xf>
    <xf numFmtId="0" fontId="42" fillId="3" borderId="3" xfId="10" applyFont="1" applyFill="1" applyBorder="1" applyAlignment="1">
      <alignment horizontal="left" indent="1"/>
    </xf>
    <xf numFmtId="0" fontId="33" fillId="3" borderId="0" xfId="0" applyFont="1" applyFill="1"/>
    <xf numFmtId="166" fontId="33" fillId="3" borderId="18" xfId="10" applyNumberFormat="1" applyFont="1" applyFill="1" applyBorder="1"/>
    <xf numFmtId="0" fontId="43" fillId="0" borderId="0" xfId="0" applyFont="1" applyAlignment="1">
      <alignment vertical="center"/>
    </xf>
    <xf numFmtId="0" fontId="44" fillId="0" borderId="5" xfId="0" applyFont="1" applyBorder="1" applyAlignment="1">
      <alignment horizontal="center" vertical="center" wrapText="1"/>
    </xf>
    <xf numFmtId="0" fontId="44" fillId="0" borderId="5" xfId="0" applyFont="1" applyBorder="1" applyAlignment="1">
      <alignment horizontal="centerContinuous" vertical="center" wrapText="1"/>
    </xf>
    <xf numFmtId="0" fontId="14" fillId="0" borderId="5" xfId="0" applyFont="1" applyBorder="1" applyAlignment="1">
      <alignment horizontal="centerContinuous"/>
    </xf>
    <xf numFmtId="166" fontId="33" fillId="0" borderId="0" xfId="0" applyNumberFormat="1" applyFont="1" applyAlignment="1">
      <alignment horizontal="left"/>
    </xf>
    <xf numFmtId="0" fontId="42" fillId="0" borderId="0" xfId="0" applyFont="1" applyAlignment="1">
      <alignment horizontal="right" indent="1"/>
    </xf>
    <xf numFmtId="164" fontId="33" fillId="0" borderId="17" xfId="4" applyNumberFormat="1" applyFont="1" applyBorder="1" applyAlignment="1">
      <alignment horizontal="left"/>
    </xf>
    <xf numFmtId="166" fontId="45" fillId="0" borderId="0" xfId="2" applyNumberFormat="1" applyFont="1"/>
    <xf numFmtId="0" fontId="0" fillId="0" borderId="4" xfId="0" applyBorder="1"/>
    <xf numFmtId="0" fontId="46" fillId="6" borderId="0" xfId="0" applyFont="1" applyFill="1" applyAlignment="1">
      <alignment horizontal="left" indent="1"/>
    </xf>
    <xf numFmtId="9" fontId="47" fillId="6" borderId="0" xfId="0" applyNumberFormat="1" applyFont="1" applyFill="1"/>
    <xf numFmtId="164" fontId="20" fillId="6" borderId="0" xfId="4" applyNumberFormat="1" applyFont="1" applyFill="1"/>
    <xf numFmtId="165" fontId="20" fillId="6" borderId="0" xfId="1" applyNumberFormat="1" applyFont="1" applyFill="1"/>
    <xf numFmtId="0" fontId="48" fillId="6" borderId="0" xfId="0" applyFont="1" applyFill="1" applyAlignment="1">
      <alignment horizontal="left" indent="1"/>
    </xf>
    <xf numFmtId="165" fontId="19" fillId="6" borderId="0" xfId="1" applyNumberFormat="1" applyFont="1" applyFill="1"/>
    <xf numFmtId="0" fontId="14" fillId="0" borderId="12" xfId="0" applyFont="1" applyBorder="1"/>
    <xf numFmtId="0" fontId="0" fillId="0" borderId="12" xfId="0" applyBorder="1" applyAlignment="1">
      <alignment horizontal="left" indent="1"/>
    </xf>
    <xf numFmtId="0" fontId="14" fillId="0" borderId="13" xfId="0" applyFont="1" applyBorder="1"/>
    <xf numFmtId="0" fontId="14" fillId="0" borderId="1" xfId="0" applyFont="1" applyBorder="1"/>
    <xf numFmtId="0" fontId="0" fillId="0" borderId="12" xfId="0" applyBorder="1"/>
    <xf numFmtId="167" fontId="12" fillId="0" borderId="12" xfId="4" applyNumberFormat="1" applyBorder="1" applyAlignment="1">
      <alignment horizontal="right"/>
    </xf>
    <xf numFmtId="0" fontId="0" fillId="0" borderId="2" xfId="0" applyBorder="1"/>
    <xf numFmtId="0" fontId="0" fillId="0" borderId="13" xfId="0" applyBorder="1"/>
    <xf numFmtId="167" fontId="0" fillId="0" borderId="0" xfId="4" applyNumberFormat="1" applyFont="1"/>
    <xf numFmtId="166" fontId="0" fillId="0" borderId="2" xfId="2" applyNumberFormat="1" applyFont="1" applyBorder="1"/>
    <xf numFmtId="166" fontId="0" fillId="0" borderId="20" xfId="2" applyNumberFormat="1" applyFont="1" applyBorder="1"/>
    <xf numFmtId="166" fontId="0" fillId="0" borderId="11" xfId="0" applyNumberFormat="1" applyBorder="1"/>
    <xf numFmtId="166" fontId="0" fillId="0" borderId="20" xfId="0" applyNumberFormat="1" applyBorder="1"/>
    <xf numFmtId="165" fontId="17" fillId="7" borderId="0" xfId="1" applyNumberFormat="1" applyFont="1" applyFill="1"/>
    <xf numFmtId="165" fontId="12" fillId="7" borderId="0" xfId="1" applyNumberFormat="1" applyFill="1"/>
    <xf numFmtId="165" fontId="25" fillId="7" borderId="0" xfId="1" applyNumberFormat="1" applyFont="1" applyFill="1" applyAlignment="1">
      <alignment horizontal="center"/>
    </xf>
    <xf numFmtId="165" fontId="12" fillId="7" borderId="0" xfId="1" applyNumberFormat="1" applyFill="1" applyAlignment="1">
      <alignment horizontal="center"/>
    </xf>
    <xf numFmtId="165" fontId="17" fillId="7" borderId="1" xfId="1" applyNumberFormat="1" applyFont="1" applyFill="1" applyBorder="1"/>
    <xf numFmtId="165" fontId="24" fillId="7" borderId="0" xfId="1" applyNumberFormat="1" applyFont="1" applyFill="1"/>
    <xf numFmtId="165" fontId="23" fillId="7" borderId="0" xfId="1" applyNumberFormat="1" applyFont="1" applyFill="1"/>
    <xf numFmtId="165" fontId="0" fillId="10" borderId="1" xfId="1" applyNumberFormat="1" applyFont="1" applyFill="1" applyBorder="1"/>
    <xf numFmtId="165" fontId="0" fillId="0" borderId="0" xfId="1" applyNumberFormat="1" applyFont="1"/>
    <xf numFmtId="165" fontId="12" fillId="0" borderId="0" xfId="1" applyNumberFormat="1" applyAlignment="1">
      <alignment horizontal="right" vertical="center"/>
    </xf>
    <xf numFmtId="164" fontId="16" fillId="0" borderId="0" xfId="15" applyNumberFormat="1" applyFont="1"/>
    <xf numFmtId="6" fontId="16" fillId="0" borderId="2" xfId="12" applyNumberFormat="1" applyFont="1" applyBorder="1" applyAlignment="1">
      <alignment horizontal="right"/>
    </xf>
    <xf numFmtId="6" fontId="16" fillId="0" borderId="0" xfId="15" applyNumberFormat="1" applyFont="1"/>
    <xf numFmtId="6" fontId="16" fillId="0" borderId="0" xfId="12" applyNumberFormat="1" applyFont="1"/>
    <xf numFmtId="6" fontId="12" fillId="0" borderId="0" xfId="12" applyNumberFormat="1"/>
    <xf numFmtId="0" fontId="55" fillId="0" borderId="19" xfId="0" applyFont="1" applyBorder="1" applyAlignment="1">
      <alignment horizontal="center"/>
    </xf>
    <xf numFmtId="0" fontId="14" fillId="0" borderId="19" xfId="0" applyFont="1" applyBorder="1" applyAlignment="1">
      <alignment horizontal="center"/>
    </xf>
    <xf numFmtId="0" fontId="11" fillId="0" borderId="0" xfId="28"/>
    <xf numFmtId="0" fontId="58" fillId="0" borderId="0" xfId="28" applyFont="1"/>
    <xf numFmtId="0" fontId="53" fillId="0" borderId="0" xfId="26" applyFont="1" applyFill="1" applyAlignment="1">
      <alignment horizontal="center"/>
    </xf>
    <xf numFmtId="0" fontId="58" fillId="0" borderId="0" xfId="28" applyFont="1" applyAlignment="1">
      <alignment horizontal="center"/>
    </xf>
    <xf numFmtId="0" fontId="11" fillId="0" borderId="0" xfId="28" applyAlignment="1">
      <alignment horizontal="center"/>
    </xf>
    <xf numFmtId="0" fontId="59" fillId="0" borderId="0" xfId="28" applyFont="1" applyAlignment="1">
      <alignment horizontal="right"/>
    </xf>
    <xf numFmtId="14" fontId="58" fillId="0" borderId="0" xfId="28" applyNumberFormat="1" applyFont="1"/>
    <xf numFmtId="0" fontId="59" fillId="0" borderId="0" xfId="28" applyFont="1"/>
    <xf numFmtId="0" fontId="60" fillId="0" borderId="0" xfId="28" applyFont="1" applyAlignment="1">
      <alignment horizontal="right"/>
    </xf>
    <xf numFmtId="0" fontId="60" fillId="0" borderId="0" xfId="28" applyFont="1" applyAlignment="1">
      <alignment horizontal="left"/>
    </xf>
    <xf numFmtId="0" fontId="57" fillId="0" borderId="0" xfId="28" applyFont="1"/>
    <xf numFmtId="0" fontId="57" fillId="0" borderId="0" xfId="28" applyFont="1" applyAlignment="1">
      <alignment horizontal="center"/>
    </xf>
    <xf numFmtId="0" fontId="57" fillId="0" borderId="19" xfId="28" applyFont="1" applyBorder="1" applyAlignment="1">
      <alignment horizontal="center"/>
    </xf>
    <xf numFmtId="0" fontId="57" fillId="0" borderId="19" xfId="28" applyFont="1" applyBorder="1"/>
    <xf numFmtId="6" fontId="11" fillId="0" borderId="11" xfId="28" applyNumberFormat="1" applyBorder="1"/>
    <xf numFmtId="0" fontId="11" fillId="4" borderId="11" xfId="28" applyFill="1" applyBorder="1"/>
    <xf numFmtId="0" fontId="11" fillId="10" borderId="11" xfId="28" applyFill="1" applyBorder="1" applyAlignment="1">
      <alignment horizontal="center"/>
    </xf>
    <xf numFmtId="6" fontId="11" fillId="4" borderId="11" xfId="28" applyNumberFormat="1" applyFill="1" applyBorder="1"/>
    <xf numFmtId="0" fontId="11" fillId="0" borderId="11" xfId="28" applyBorder="1"/>
    <xf numFmtId="0" fontId="61" fillId="0" borderId="0" xfId="28" applyFont="1"/>
    <xf numFmtId="0" fontId="61" fillId="0" borderId="0" xfId="28" applyFont="1" applyAlignment="1">
      <alignment horizontal="center"/>
    </xf>
    <xf numFmtId="6" fontId="61" fillId="0" borderId="0" xfId="28" applyNumberFormat="1" applyFont="1"/>
    <xf numFmtId="0" fontId="53" fillId="0" borderId="0" xfId="26" applyFont="1" applyFill="1"/>
    <xf numFmtId="0" fontId="38" fillId="0" borderId="0" xfId="26" applyFont="1" applyFill="1"/>
    <xf numFmtId="0" fontId="62" fillId="0" borderId="0" xfId="28" applyFont="1"/>
    <xf numFmtId="0" fontId="28" fillId="0" borderId="0" xfId="28" applyFont="1"/>
    <xf numFmtId="0" fontId="52" fillId="0" borderId="0" xfId="28" applyFont="1" applyAlignment="1">
      <alignment horizontal="center"/>
    </xf>
    <xf numFmtId="6" fontId="28" fillId="0" borderId="0" xfId="28" applyNumberFormat="1" applyFont="1" applyAlignment="1">
      <alignment horizontal="right"/>
    </xf>
    <xf numFmtId="6" fontId="28" fillId="0" borderId="0" xfId="26" applyNumberFormat="1" applyFont="1" applyFill="1" applyAlignment="1">
      <alignment horizontal="right"/>
    </xf>
    <xf numFmtId="6" fontId="28" fillId="4" borderId="21" xfId="26" applyNumberFormat="1" applyFont="1" applyFill="1" applyBorder="1" applyAlignment="1">
      <alignment horizontal="right"/>
    </xf>
    <xf numFmtId="0" fontId="63" fillId="0" borderId="0" xfId="28" applyFont="1"/>
    <xf numFmtId="6" fontId="28" fillId="4" borderId="22" xfId="26" applyNumberFormat="1" applyFont="1" applyFill="1" applyBorder="1" applyAlignment="1">
      <alignment horizontal="right"/>
    </xf>
    <xf numFmtId="164" fontId="63" fillId="0" borderId="0" xfId="28" applyNumberFormat="1" applyFont="1"/>
    <xf numFmtId="0" fontId="14" fillId="0" borderId="0" xfId="28" applyFont="1" applyAlignment="1">
      <alignment horizontal="left" indent="1"/>
    </xf>
    <xf numFmtId="6" fontId="63" fillId="0" borderId="0" xfId="28" applyNumberFormat="1" applyFont="1"/>
    <xf numFmtId="0" fontId="64" fillId="0" borderId="0" xfId="28" applyFont="1" applyAlignment="1">
      <alignment horizontal="right" indent="1"/>
    </xf>
    <xf numFmtId="0" fontId="38" fillId="0" borderId="0" xfId="26" applyFont="1" applyFill="1" applyAlignment="1">
      <alignment horizontal="right"/>
    </xf>
    <xf numFmtId="0" fontId="14" fillId="0" borderId="0" xfId="28" applyFont="1" applyAlignment="1">
      <alignment horizontal="left"/>
    </xf>
    <xf numFmtId="0" fontId="28" fillId="0" borderId="0" xfId="26" applyFont="1" applyFill="1"/>
    <xf numFmtId="6" fontId="28" fillId="4" borderId="0" xfId="26" applyNumberFormat="1" applyFont="1" applyFill="1" applyAlignment="1">
      <alignment horizontal="right"/>
    </xf>
    <xf numFmtId="0" fontId="65" fillId="0" borderId="0" xfId="28" applyFont="1"/>
    <xf numFmtId="0" fontId="28" fillId="0" borderId="0" xfId="28" applyFont="1" applyAlignment="1">
      <alignment horizontal="center"/>
    </xf>
    <xf numFmtId="0" fontId="57" fillId="0" borderId="19" xfId="28" applyFont="1" applyBorder="1" applyAlignment="1">
      <alignment wrapText="1"/>
    </xf>
    <xf numFmtId="6" fontId="11" fillId="0" borderId="23" xfId="28" applyNumberFormat="1" applyBorder="1"/>
    <xf numFmtId="6" fontId="11" fillId="4" borderId="23" xfId="28" applyNumberFormat="1" applyFill="1" applyBorder="1"/>
    <xf numFmtId="6" fontId="28" fillId="0" borderId="0" xfId="28" applyNumberFormat="1" applyFont="1"/>
    <xf numFmtId="6" fontId="11" fillId="0" borderId="21" xfId="28" applyNumberFormat="1" applyBorder="1"/>
    <xf numFmtId="6" fontId="11" fillId="4" borderId="21" xfId="28" applyNumberFormat="1" applyFill="1" applyBorder="1"/>
    <xf numFmtId="0" fontId="11" fillId="0" borderId="21" xfId="28" applyBorder="1" applyAlignment="1">
      <alignment horizontal="left" indent="1"/>
    </xf>
    <xf numFmtId="6" fontId="11" fillId="0" borderId="0" xfId="28" applyNumberFormat="1"/>
    <xf numFmtId="6" fontId="11" fillId="0" borderId="22" xfId="28" applyNumberFormat="1" applyBorder="1"/>
    <xf numFmtId="6" fontId="11" fillId="4" borderId="22" xfId="28" applyNumberFormat="1" applyFill="1" applyBorder="1"/>
    <xf numFmtId="0" fontId="14" fillId="0" borderId="21" xfId="28" applyFont="1" applyBorder="1" applyAlignment="1">
      <alignment horizontal="left"/>
    </xf>
    <xf numFmtId="6" fontId="66" fillId="0" borderId="0" xfId="28" applyNumberFormat="1" applyFont="1"/>
    <xf numFmtId="0" fontId="63" fillId="0" borderId="0" xfId="28" applyFont="1" applyAlignment="1">
      <alignment horizontal="right" indent="1"/>
    </xf>
    <xf numFmtId="164" fontId="66" fillId="0" borderId="0" xfId="28" applyNumberFormat="1" applyFont="1"/>
    <xf numFmtId="164" fontId="11" fillId="0" borderId="0" xfId="28" applyNumberFormat="1"/>
    <xf numFmtId="0" fontId="67" fillId="0" borderId="0" xfId="28" applyFont="1" applyAlignment="1">
      <alignment horizontal="right" indent="1"/>
    </xf>
    <xf numFmtId="9" fontId="67" fillId="0" borderId="0" xfId="28" applyNumberFormat="1" applyFont="1"/>
    <xf numFmtId="164" fontId="62" fillId="0" borderId="0" xfId="28" applyNumberFormat="1" applyFont="1"/>
    <xf numFmtId="0" fontId="11" fillId="16" borderId="0" xfId="28" applyFill="1"/>
    <xf numFmtId="0" fontId="56" fillId="0" borderId="0" xfId="28" applyFont="1"/>
    <xf numFmtId="0" fontId="11" fillId="0" borderId="19" xfId="28" applyBorder="1"/>
    <xf numFmtId="0" fontId="11" fillId="16" borderId="0" xfId="28" applyFill="1" applyAlignment="1">
      <alignment horizontal="left" indent="1"/>
    </xf>
    <xf numFmtId="0" fontId="29" fillId="0" borderId="0" xfId="0" applyFont="1" applyAlignment="1">
      <alignment horizontal="center"/>
    </xf>
    <xf numFmtId="165" fontId="23" fillId="0" borderId="0" xfId="1" applyNumberFormat="1" applyFont="1" applyAlignment="1">
      <alignment horizontal="right"/>
    </xf>
    <xf numFmtId="0" fontId="12" fillId="5" borderId="0" xfId="0" applyFont="1" applyFill="1"/>
    <xf numFmtId="44" fontId="12" fillId="5" borderId="0" xfId="2" applyFill="1"/>
    <xf numFmtId="8" fontId="11" fillId="0" borderId="0" xfId="28" applyNumberFormat="1"/>
    <xf numFmtId="9" fontId="11" fillId="0" borderId="0" xfId="28" applyNumberFormat="1"/>
    <xf numFmtId="0" fontId="57" fillId="0" borderId="1" xfId="28" applyFont="1" applyBorder="1"/>
    <xf numFmtId="0" fontId="70" fillId="0" borderId="0" xfId="10" applyFont="1" applyAlignment="1">
      <alignment horizontal="center"/>
    </xf>
    <xf numFmtId="165" fontId="12" fillId="0" borderId="0" xfId="10" applyNumberFormat="1"/>
    <xf numFmtId="166" fontId="24" fillId="0" borderId="0" xfId="10" applyNumberFormat="1" applyFont="1" applyAlignment="1">
      <alignment horizontal="center"/>
    </xf>
    <xf numFmtId="0" fontId="23" fillId="0" borderId="0" xfId="10" applyFont="1" applyAlignment="1">
      <alignment horizontal="right"/>
    </xf>
    <xf numFmtId="2" fontId="23" fillId="0" borderId="0" xfId="10" applyNumberFormat="1" applyFont="1" applyAlignment="1">
      <alignment horizontal="right"/>
    </xf>
    <xf numFmtId="165" fontId="16" fillId="0" borderId="0" xfId="1" applyNumberFormat="1" applyFont="1"/>
    <xf numFmtId="166" fontId="0" fillId="0" borderId="0" xfId="2" applyNumberFormat="1" applyFont="1"/>
    <xf numFmtId="0" fontId="14" fillId="0" borderId="7" xfId="0" applyFont="1" applyBorder="1" applyAlignment="1">
      <alignment horizontal="center"/>
    </xf>
    <xf numFmtId="167" fontId="0" fillId="0" borderId="20" xfId="4" applyNumberFormat="1" applyFont="1" applyBorder="1"/>
    <xf numFmtId="44" fontId="0" fillId="0" borderId="20" xfId="2" applyFont="1" applyBorder="1"/>
    <xf numFmtId="167" fontId="0" fillId="0" borderId="11" xfId="4" applyNumberFormat="1" applyFont="1" applyBorder="1"/>
    <xf numFmtId="44" fontId="0" fillId="0" borderId="11" xfId="2" applyFont="1" applyBorder="1"/>
    <xf numFmtId="9" fontId="0" fillId="0" borderId="2" xfId="0" applyNumberFormat="1" applyBorder="1"/>
    <xf numFmtId="168" fontId="0" fillId="0" borderId="13" xfId="0" applyNumberFormat="1" applyBorder="1"/>
    <xf numFmtId="44" fontId="0" fillId="0" borderId="1" xfId="2" applyFont="1" applyBorder="1"/>
    <xf numFmtId="44" fontId="0" fillId="0" borderId="7" xfId="0" applyNumberFormat="1" applyBorder="1"/>
    <xf numFmtId="174" fontId="0" fillId="0" borderId="20" xfId="0" applyNumberFormat="1" applyBorder="1"/>
    <xf numFmtId="0" fontId="0" fillId="0" borderId="1" xfId="0" applyBorder="1" applyAlignment="1">
      <alignment horizontal="right"/>
    </xf>
    <xf numFmtId="0" fontId="0" fillId="0" borderId="11" xfId="0" applyBorder="1"/>
    <xf numFmtId="0" fontId="14" fillId="0" borderId="12" xfId="0" applyFont="1" applyBorder="1" applyAlignment="1">
      <alignment horizontal="right"/>
    </xf>
    <xf numFmtId="165" fontId="12" fillId="0" borderId="20" xfId="1" applyNumberFormat="1" applyBorder="1"/>
    <xf numFmtId="166" fontId="72" fillId="0" borderId="7" xfId="0" applyNumberFormat="1" applyFont="1" applyBorder="1"/>
    <xf numFmtId="166" fontId="0" fillId="0" borderId="0" xfId="0" applyNumberFormat="1"/>
    <xf numFmtId="44" fontId="0" fillId="0" borderId="0" xfId="2" applyFont="1"/>
    <xf numFmtId="44" fontId="14" fillId="0" borderId="0" xfId="2" applyFont="1"/>
    <xf numFmtId="9" fontId="0" fillId="0" borderId="0" xfId="0" applyNumberFormat="1"/>
    <xf numFmtId="44" fontId="0" fillId="0" borderId="0" xfId="0" applyNumberFormat="1"/>
    <xf numFmtId="166" fontId="20" fillId="0" borderId="0" xfId="2" applyNumberFormat="1" applyFont="1"/>
    <xf numFmtId="0" fontId="14" fillId="0" borderId="0" xfId="0" applyFont="1" applyAlignment="1">
      <alignment horizontal="right"/>
    </xf>
    <xf numFmtId="174" fontId="0" fillId="0" borderId="0" xfId="0" applyNumberFormat="1"/>
    <xf numFmtId="166" fontId="72" fillId="0" borderId="0" xfId="0" applyNumberFormat="1" applyFont="1"/>
    <xf numFmtId="0" fontId="14" fillId="0" borderId="1" xfId="0" applyFont="1" applyBorder="1" applyAlignment="1">
      <alignment horizontal="right"/>
    </xf>
    <xf numFmtId="9" fontId="12" fillId="0" borderId="1" xfId="4" applyBorder="1" applyAlignment="1">
      <alignment horizontal="center"/>
    </xf>
    <xf numFmtId="0" fontId="20" fillId="17" borderId="0" xfId="10" applyFont="1" applyFill="1" applyAlignment="1">
      <alignment horizontal="center"/>
    </xf>
    <xf numFmtId="8" fontId="0" fillId="0" borderId="0" xfId="0" applyNumberFormat="1"/>
    <xf numFmtId="166" fontId="16" fillId="0" borderId="1" xfId="2" applyNumberFormat="1" applyFont="1" applyBorder="1"/>
    <xf numFmtId="166" fontId="16" fillId="0" borderId="0" xfId="2" applyNumberFormat="1" applyFont="1"/>
    <xf numFmtId="10" fontId="16" fillId="0" borderId="0" xfId="4" applyNumberFormat="1" applyFont="1"/>
    <xf numFmtId="0" fontId="20" fillId="18" borderId="0" xfId="0" applyFont="1" applyFill="1"/>
    <xf numFmtId="0" fontId="29" fillId="0" borderId="3" xfId="0" applyFont="1" applyBorder="1" applyAlignment="1">
      <alignment horizontal="center"/>
    </xf>
    <xf numFmtId="0" fontId="11" fillId="0" borderId="17" xfId="28" applyBorder="1"/>
    <xf numFmtId="0" fontId="11" fillId="0" borderId="4" xfId="28" applyBorder="1"/>
    <xf numFmtId="166" fontId="16" fillId="0" borderId="20" xfId="2" applyNumberFormat="1" applyFont="1" applyBorder="1"/>
    <xf numFmtId="166" fontId="0" fillId="0" borderId="0" xfId="2" applyNumberFormat="1" applyFont="1" applyBorder="1"/>
    <xf numFmtId="0" fontId="0" fillId="0" borderId="20" xfId="0" applyBorder="1"/>
    <xf numFmtId="167" fontId="14" fillId="0" borderId="0" xfId="4" applyNumberFormat="1" applyFont="1" applyBorder="1"/>
    <xf numFmtId="10" fontId="0" fillId="0" borderId="20" xfId="4" applyNumberFormat="1" applyFont="1" applyBorder="1"/>
    <xf numFmtId="10" fontId="0" fillId="0" borderId="2" xfId="4" applyNumberFormat="1" applyFont="1" applyBorder="1"/>
    <xf numFmtId="166" fontId="16" fillId="0" borderId="2" xfId="2" applyNumberFormat="1" applyFont="1" applyBorder="1"/>
    <xf numFmtId="166" fontId="16" fillId="0" borderId="2" xfId="2" applyNumberFormat="1" applyFont="1" applyBorder="1" applyAlignment="1">
      <alignment horizontal="right"/>
    </xf>
    <xf numFmtId="166" fontId="16" fillId="0" borderId="7" xfId="0" applyNumberFormat="1" applyFont="1" applyBorder="1"/>
    <xf numFmtId="165" fontId="12" fillId="0" borderId="0" xfId="1" applyNumberFormat="1" applyFill="1"/>
    <xf numFmtId="165" fontId="23" fillId="0" borderId="0" xfId="1" applyNumberFormat="1" applyFont="1" applyFill="1" applyAlignment="1">
      <alignment horizontal="right"/>
    </xf>
    <xf numFmtId="164" fontId="16" fillId="0" borderId="2" xfId="12" applyNumberFormat="1" applyFont="1" applyFill="1" applyBorder="1" applyAlignment="1">
      <alignment horizontal="right"/>
    </xf>
    <xf numFmtId="164" fontId="16" fillId="0" borderId="7" xfId="12" applyNumberFormat="1" applyFont="1" applyFill="1" applyBorder="1" applyAlignment="1">
      <alignment horizontal="right"/>
    </xf>
    <xf numFmtId="0" fontId="68" fillId="0" borderId="0" xfId="0" applyFont="1" applyAlignment="1">
      <alignment horizontal="right"/>
    </xf>
    <xf numFmtId="0" fontId="68" fillId="0" borderId="0" xfId="0" applyFont="1"/>
    <xf numFmtId="9" fontId="12" fillId="0" borderId="0" xfId="4" applyFill="1"/>
    <xf numFmtId="164" fontId="17" fillId="0" borderId="0" xfId="4" applyNumberFormat="1" applyFont="1" applyFill="1"/>
    <xf numFmtId="166" fontId="23" fillId="0" borderId="0" xfId="0" applyNumberFormat="1" applyFont="1" applyAlignment="1">
      <alignment horizontal="right"/>
    </xf>
    <xf numFmtId="166" fontId="14" fillId="0" borderId="0" xfId="0" applyNumberFormat="1" applyFont="1"/>
    <xf numFmtId="165" fontId="0" fillId="0" borderId="0" xfId="13" applyNumberFormat="1" applyFont="1" applyFill="1"/>
    <xf numFmtId="165" fontId="23" fillId="7" borderId="0" xfId="1" applyNumberFormat="1" applyFont="1" applyFill="1" applyAlignment="1">
      <alignment horizontal="right"/>
    </xf>
    <xf numFmtId="175" fontId="75" fillId="0" borderId="2" xfId="0" applyNumberFormat="1" applyFont="1" applyBorder="1" applyAlignment="1">
      <alignment horizontal="right"/>
    </xf>
    <xf numFmtId="175" fontId="75" fillId="0" borderId="0" xfId="1" applyNumberFormat="1" applyFont="1" applyFill="1"/>
    <xf numFmtId="0" fontId="17" fillId="0" borderId="0" xfId="0" applyFont="1" applyAlignment="1">
      <alignment horizontal="right"/>
    </xf>
    <xf numFmtId="9" fontId="15" fillId="0" borderId="0" xfId="4" applyFont="1"/>
    <xf numFmtId="44" fontId="15" fillId="0" borderId="0" xfId="2" applyFont="1"/>
    <xf numFmtId="0" fontId="16" fillId="0" borderId="11" xfId="10" applyFont="1" applyBorder="1" applyAlignment="1">
      <alignment horizontal="center"/>
    </xf>
    <xf numFmtId="0" fontId="16" fillId="0" borderId="13" xfId="10" applyFont="1" applyBorder="1" applyAlignment="1">
      <alignment horizontal="center"/>
    </xf>
    <xf numFmtId="10" fontId="16" fillId="0" borderId="11" xfId="4" applyNumberFormat="1" applyFont="1" applyBorder="1" applyAlignment="1">
      <alignment horizontal="center"/>
    </xf>
    <xf numFmtId="10" fontId="16" fillId="0" borderId="11" xfId="12" applyNumberFormat="1" applyFont="1" applyBorder="1" applyAlignment="1">
      <alignment horizontal="center"/>
    </xf>
    <xf numFmtId="9" fontId="16" fillId="0" borderId="11" xfId="4" applyFont="1" applyBorder="1" applyAlignment="1">
      <alignment horizontal="center"/>
    </xf>
    <xf numFmtId="9" fontId="23" fillId="0" borderId="0" xfId="4" applyFont="1" applyFill="1" applyAlignment="1">
      <alignment horizontal="right"/>
    </xf>
    <xf numFmtId="166" fontId="17" fillId="0" borderId="0" xfId="0" applyNumberFormat="1" applyFont="1" applyAlignment="1">
      <alignment horizontal="right"/>
    </xf>
    <xf numFmtId="164" fontId="17" fillId="0" borderId="0" xfId="4" applyNumberFormat="1" applyFont="1" applyAlignment="1">
      <alignment horizontal="right"/>
    </xf>
    <xf numFmtId="166" fontId="15" fillId="0" borderId="0" xfId="0" applyNumberFormat="1" applyFont="1" applyAlignment="1">
      <alignment horizontal="right"/>
    </xf>
    <xf numFmtId="0" fontId="15" fillId="0" borderId="0" xfId="0" applyFont="1" applyAlignment="1">
      <alignment horizontal="right"/>
    </xf>
    <xf numFmtId="164" fontId="17" fillId="0" borderId="0" xfId="0" applyNumberFormat="1" applyFont="1" applyAlignment="1">
      <alignment horizontal="right"/>
    </xf>
    <xf numFmtId="3" fontId="12" fillId="0" borderId="0" xfId="2" applyNumberFormat="1"/>
    <xf numFmtId="0" fontId="21" fillId="0" borderId="0" xfId="0" applyFont="1"/>
    <xf numFmtId="166" fontId="16" fillId="0" borderId="2" xfId="0" applyNumberFormat="1" applyFont="1" applyBorder="1"/>
    <xf numFmtId="165" fontId="16" fillId="0" borderId="2" xfId="1" applyNumberFormat="1" applyFont="1" applyBorder="1"/>
    <xf numFmtId="0" fontId="10" fillId="19" borderId="0" xfId="32" applyBorder="1"/>
    <xf numFmtId="0" fontId="57" fillId="19" borderId="0" xfId="32" applyFont="1" applyBorder="1" applyAlignment="1">
      <alignment vertical="center"/>
    </xf>
    <xf numFmtId="0" fontId="10" fillId="19" borderId="2" xfId="32" applyBorder="1"/>
    <xf numFmtId="0" fontId="14" fillId="0" borderId="0" xfId="0" applyFont="1" applyAlignment="1">
      <alignment horizontal="left"/>
    </xf>
    <xf numFmtId="166" fontId="14" fillId="0" borderId="7" xfId="0" applyNumberFormat="1" applyFont="1" applyBorder="1"/>
    <xf numFmtId="0" fontId="0" fillId="0" borderId="0" xfId="0" applyAlignment="1">
      <alignment horizontal="center"/>
    </xf>
    <xf numFmtId="0" fontId="0" fillId="0" borderId="2" xfId="0" applyBorder="1" applyAlignment="1">
      <alignment horizontal="center"/>
    </xf>
    <xf numFmtId="6" fontId="0" fillId="0" borderId="0" xfId="0" applyNumberFormat="1"/>
    <xf numFmtId="0" fontId="53" fillId="0" borderId="0" xfId="33" applyFont="1" applyFill="1" applyAlignment="1">
      <alignment horizontal="center"/>
    </xf>
    <xf numFmtId="44" fontId="12" fillId="0" borderId="0" xfId="2" applyFill="1"/>
    <xf numFmtId="0" fontId="76" fillId="0" borderId="12" xfId="0" applyFont="1" applyBorder="1"/>
    <xf numFmtId="0" fontId="29" fillId="0" borderId="0" xfId="0" applyFont="1"/>
    <xf numFmtId="8" fontId="16" fillId="0" borderId="0" xfId="0" applyNumberFormat="1" applyFont="1"/>
    <xf numFmtId="0" fontId="17" fillId="21" borderId="0" xfId="0" applyFont="1" applyFill="1"/>
    <xf numFmtId="0" fontId="12" fillId="21" borderId="0" xfId="0" applyFont="1" applyFill="1"/>
    <xf numFmtId="0" fontId="20" fillId="21" borderId="0" xfId="0" applyFont="1" applyFill="1"/>
    <xf numFmtId="10" fontId="75" fillId="0" borderId="0" xfId="1" applyNumberFormat="1" applyFont="1" applyFill="1"/>
    <xf numFmtId="0" fontId="25" fillId="7" borderId="0" xfId="2" applyNumberFormat="1" applyFont="1" applyFill="1" applyAlignment="1">
      <alignment horizontal="center"/>
    </xf>
    <xf numFmtId="0" fontId="29" fillId="7" borderId="0" xfId="0" applyFont="1" applyFill="1" applyAlignment="1">
      <alignment horizontal="center"/>
    </xf>
    <xf numFmtId="165" fontId="75" fillId="0" borderId="0" xfId="1" applyNumberFormat="1" applyFont="1" applyFill="1" applyAlignment="1">
      <alignment horizontal="right"/>
    </xf>
    <xf numFmtId="0" fontId="77" fillId="0" borderId="0" xfId="0" applyFont="1" applyAlignment="1">
      <alignment horizontal="right"/>
    </xf>
    <xf numFmtId="10" fontId="12" fillId="0" borderId="0" xfId="2" applyNumberFormat="1"/>
    <xf numFmtId="10" fontId="17" fillId="0" borderId="0" xfId="0" applyNumberFormat="1" applyFont="1" applyAlignment="1">
      <alignment horizontal="center"/>
    </xf>
    <xf numFmtId="0" fontId="26" fillId="0" borderId="2" xfId="0" applyFont="1" applyBorder="1" applyAlignment="1">
      <alignment horizontal="right"/>
    </xf>
    <xf numFmtId="1" fontId="12" fillId="0" borderId="2" xfId="12" applyNumberFormat="1" applyFill="1" applyBorder="1" applyAlignment="1">
      <alignment horizontal="right"/>
    </xf>
    <xf numFmtId="165" fontId="71" fillId="0" borderId="0" xfId="1" applyNumberFormat="1" applyFont="1" applyFill="1"/>
    <xf numFmtId="165" fontId="23" fillId="0" borderId="0" xfId="1" applyNumberFormat="1" applyFont="1" applyFill="1"/>
    <xf numFmtId="165" fontId="12" fillId="0" borderId="2" xfId="1" applyNumberFormat="1" applyFill="1" applyBorder="1"/>
    <xf numFmtId="0" fontId="26" fillId="0" borderId="2" xfId="0" applyFont="1" applyBorder="1" applyAlignment="1">
      <alignment horizontal="center"/>
    </xf>
    <xf numFmtId="165" fontId="15" fillId="0" borderId="2" xfId="1" applyNumberFormat="1" applyFont="1" applyFill="1" applyBorder="1"/>
    <xf numFmtId="165" fontId="12" fillId="0" borderId="12" xfId="1" applyNumberFormat="1" applyFill="1" applyBorder="1"/>
    <xf numFmtId="165" fontId="12" fillId="0" borderId="13" xfId="1" applyNumberFormat="1" applyFill="1" applyBorder="1"/>
    <xf numFmtId="166" fontId="12" fillId="0" borderId="0" xfId="2" applyNumberFormat="1" applyFill="1"/>
    <xf numFmtId="9" fontId="23" fillId="0" borderId="0" xfId="4" applyFont="1" applyFill="1"/>
    <xf numFmtId="165" fontId="12" fillId="0" borderId="7" xfId="1" applyNumberFormat="1" applyFill="1" applyBorder="1"/>
    <xf numFmtId="0" fontId="16" fillId="0" borderId="0" xfId="0" applyFont="1" applyAlignment="1">
      <alignment horizontal="center"/>
    </xf>
    <xf numFmtId="8" fontId="16" fillId="0" borderId="0" xfId="0" applyNumberFormat="1" applyFont="1" applyAlignment="1">
      <alignment horizontal="center"/>
    </xf>
    <xf numFmtId="166" fontId="23" fillId="0" borderId="20" xfId="10" applyNumberFormat="1" applyFont="1" applyBorder="1"/>
    <xf numFmtId="0" fontId="78" fillId="0" borderId="0" xfId="0" applyFont="1" applyAlignment="1">
      <alignment horizontal="right"/>
    </xf>
    <xf numFmtId="0" fontId="21" fillId="0" borderId="0" xfId="10" applyFont="1"/>
    <xf numFmtId="177" fontId="21" fillId="0" borderId="0" xfId="10" applyNumberFormat="1" applyFont="1"/>
    <xf numFmtId="178" fontId="21" fillId="0" borderId="0" xfId="10" applyNumberFormat="1" applyFont="1"/>
    <xf numFmtId="9" fontId="21" fillId="0" borderId="0" xfId="4" applyFont="1"/>
    <xf numFmtId="0" fontId="12" fillId="0" borderId="0" xfId="10" applyAlignment="1">
      <alignment horizontal="right"/>
    </xf>
    <xf numFmtId="5" fontId="0" fillId="0" borderId="0" xfId="2" applyNumberFormat="1" applyFont="1" applyAlignment="1">
      <alignment horizontal="right"/>
    </xf>
    <xf numFmtId="178" fontId="0" fillId="0" borderId="0" xfId="2" applyNumberFormat="1" applyFont="1" applyAlignment="1">
      <alignment horizontal="right"/>
    </xf>
    <xf numFmtId="9" fontId="0" fillId="0" borderId="0" xfId="4" applyFont="1" applyAlignment="1">
      <alignment horizontal="right"/>
    </xf>
    <xf numFmtId="177" fontId="0" fillId="0" borderId="0" xfId="0" applyNumberFormat="1" applyAlignment="1">
      <alignment horizontal="right"/>
    </xf>
    <xf numFmtId="5" fontId="0" fillId="0" borderId="0" xfId="0" applyNumberFormat="1" applyAlignment="1">
      <alignment horizontal="right"/>
    </xf>
    <xf numFmtId="0" fontId="79" fillId="0" borderId="0" xfId="0" applyFont="1" applyAlignment="1">
      <alignment horizontal="right"/>
    </xf>
    <xf numFmtId="5" fontId="79" fillId="0" borderId="0" xfId="2" applyNumberFormat="1" applyFont="1" applyAlignment="1">
      <alignment horizontal="right"/>
    </xf>
    <xf numFmtId="5" fontId="79" fillId="0" borderId="0" xfId="0" applyNumberFormat="1" applyFont="1" applyAlignment="1">
      <alignment horizontal="right"/>
    </xf>
    <xf numFmtId="0" fontId="80" fillId="0" borderId="0" xfId="0" applyFont="1"/>
    <xf numFmtId="0" fontId="81" fillId="0" borderId="0" xfId="0" applyFont="1"/>
    <xf numFmtId="0" fontId="80" fillId="0" borderId="0" xfId="0" applyFont="1" applyAlignment="1">
      <alignment horizontal="left"/>
    </xf>
    <xf numFmtId="0" fontId="14" fillId="0" borderId="0" xfId="0" applyFont="1" applyAlignment="1">
      <alignment horizontal="center"/>
    </xf>
    <xf numFmtId="0" fontId="8" fillId="26" borderId="0" xfId="35"/>
    <xf numFmtId="164" fontId="8" fillId="26" borderId="0" xfId="35" applyNumberFormat="1" applyAlignment="1">
      <alignment horizontal="center"/>
    </xf>
    <xf numFmtId="0" fontId="12" fillId="0" borderId="0" xfId="2" applyNumberFormat="1"/>
    <xf numFmtId="10" fontId="16" fillId="0" borderId="0" xfId="0" applyNumberFormat="1" applyFont="1"/>
    <xf numFmtId="6" fontId="11" fillId="0" borderId="29" xfId="28" applyNumberFormat="1" applyBorder="1"/>
    <xf numFmtId="0" fontId="94" fillId="0" borderId="19" xfId="28" applyFont="1" applyBorder="1"/>
    <xf numFmtId="0" fontId="42" fillId="0" borderId="10" xfId="0" applyFont="1" applyBorder="1" applyAlignment="1">
      <alignment horizontal="left" indent="1"/>
    </xf>
    <xf numFmtId="190" fontId="33" fillId="0" borderId="19" xfId="0" applyNumberFormat="1" applyFont="1" applyBorder="1" applyAlignment="1">
      <alignment horizontal="right"/>
    </xf>
    <xf numFmtId="0" fontId="42" fillId="10" borderId="3" xfId="0" applyFont="1" applyFill="1" applyBorder="1" applyAlignment="1">
      <alignment horizontal="left" indent="1"/>
    </xf>
    <xf numFmtId="0" fontId="0" fillId="10" borderId="0" xfId="0" applyFill="1"/>
    <xf numFmtId="166" fontId="33" fillId="10" borderId="0" xfId="0" applyNumberFormat="1" applyFont="1" applyFill="1" applyAlignment="1">
      <alignment horizontal="left"/>
    </xf>
    <xf numFmtId="0" fontId="0" fillId="0" borderId="17" xfId="0" applyBorder="1"/>
    <xf numFmtId="0" fontId="6" fillId="22" borderId="0" xfId="36" applyFill="1"/>
    <xf numFmtId="0" fontId="6" fillId="22" borderId="0" xfId="36" applyFill="1" applyAlignment="1">
      <alignment horizontal="center"/>
    </xf>
    <xf numFmtId="0" fontId="82" fillId="25" borderId="0" xfId="36" applyFont="1" applyFill="1"/>
    <xf numFmtId="0" fontId="54" fillId="25" borderId="0" xfId="36" applyFont="1" applyFill="1"/>
    <xf numFmtId="0" fontId="54" fillId="25" borderId="0" xfId="36" applyFont="1" applyFill="1" applyAlignment="1">
      <alignment horizontal="center"/>
    </xf>
    <xf numFmtId="180" fontId="54" fillId="25" borderId="0" xfId="36" applyNumberFormat="1" applyFont="1" applyFill="1" applyAlignment="1">
      <alignment horizontal="right"/>
    </xf>
    <xf numFmtId="0" fontId="83" fillId="11" borderId="0" xfId="36" applyFont="1" applyFill="1"/>
    <xf numFmtId="0" fontId="54" fillId="11" borderId="0" xfId="36" applyFont="1" applyFill="1"/>
    <xf numFmtId="0" fontId="54" fillId="11" borderId="0" xfId="36" applyFont="1" applyFill="1" applyAlignment="1">
      <alignment horizontal="center"/>
    </xf>
    <xf numFmtId="0" fontId="92" fillId="23" borderId="0" xfId="36" applyFont="1" applyFill="1" applyAlignment="1">
      <alignment horizontal="right"/>
    </xf>
    <xf numFmtId="189" fontId="6" fillId="11" borderId="0" xfId="36" applyNumberFormat="1" applyFill="1" applyAlignment="1" applyProtection="1">
      <alignment horizontal="center"/>
      <protection locked="0"/>
    </xf>
    <xf numFmtId="189" fontId="6" fillId="11" borderId="0" xfId="36" applyNumberFormat="1" applyFill="1" applyAlignment="1" applyProtection="1">
      <alignment horizontal="right"/>
      <protection locked="0"/>
    </xf>
    <xf numFmtId="0" fontId="92" fillId="23" borderId="0" xfId="37" applyNumberFormat="1" applyFont="1" applyFill="1" applyAlignment="1">
      <alignment horizontal="center" vertical="center"/>
    </xf>
    <xf numFmtId="44" fontId="14" fillId="11" borderId="0" xfId="38" applyFont="1" applyFill="1" applyAlignment="1">
      <alignment horizontal="right"/>
    </xf>
    <xf numFmtId="0" fontId="28" fillId="0" borderId="0" xfId="36" applyFont="1" applyAlignment="1">
      <alignment horizontal="right"/>
    </xf>
    <xf numFmtId="0" fontId="84" fillId="23" borderId="0" xfId="36" applyFont="1" applyFill="1" applyAlignment="1">
      <alignment horizontal="right"/>
    </xf>
    <xf numFmtId="0" fontId="57" fillId="11" borderId="0" xfId="36" applyFont="1" applyFill="1" applyAlignment="1">
      <alignment horizontal="center"/>
    </xf>
    <xf numFmtId="0" fontId="6" fillId="0" borderId="0" xfId="36" applyAlignment="1">
      <alignment horizontal="center"/>
    </xf>
    <xf numFmtId="9" fontId="28" fillId="11" borderId="0" xfId="36" applyNumberFormat="1" applyFont="1" applyFill="1" applyAlignment="1">
      <alignment horizontal="left"/>
    </xf>
    <xf numFmtId="0" fontId="6" fillId="11" borderId="0" xfId="36" applyFill="1"/>
    <xf numFmtId="0" fontId="6" fillId="11" borderId="0" xfId="36" applyFill="1" applyAlignment="1">
      <alignment horizontal="right"/>
    </xf>
    <xf numFmtId="0" fontId="6" fillId="11" borderId="0" xfId="36" applyFill="1" applyAlignment="1">
      <alignment horizontal="center"/>
    </xf>
    <xf numFmtId="0" fontId="86" fillId="11" borderId="0" xfId="36" applyFont="1" applyFill="1"/>
    <xf numFmtId="0" fontId="57" fillId="11" borderId="0" xfId="36" applyFont="1" applyFill="1" applyAlignment="1">
      <alignment horizontal="right"/>
    </xf>
    <xf numFmtId="10" fontId="28" fillId="11" borderId="0" xfId="36" applyNumberFormat="1" applyFont="1" applyFill="1" applyAlignment="1">
      <alignment horizontal="center"/>
    </xf>
    <xf numFmtId="164" fontId="92" fillId="23" borderId="0" xfId="36" applyNumberFormat="1" applyFont="1" applyFill="1" applyAlignment="1" applyProtection="1">
      <alignment horizontal="right"/>
      <protection locked="0"/>
    </xf>
    <xf numFmtId="3" fontId="28" fillId="11" borderId="0" xfId="36" applyNumberFormat="1" applyFont="1" applyFill="1" applyAlignment="1">
      <alignment horizontal="right"/>
    </xf>
    <xf numFmtId="0" fontId="6" fillId="11" borderId="0" xfId="36" applyFill="1" applyAlignment="1">
      <alignment horizontal="left"/>
    </xf>
    <xf numFmtId="0" fontId="87" fillId="11" borderId="14" xfId="36" applyFont="1" applyFill="1" applyBorder="1" applyAlignment="1">
      <alignment horizontal="right" vertical="center"/>
    </xf>
    <xf numFmtId="0" fontId="88" fillId="11" borderId="16" xfId="36" applyFont="1" applyFill="1" applyBorder="1" applyAlignment="1">
      <alignment horizontal="left" vertical="center"/>
    </xf>
    <xf numFmtId="164" fontId="6" fillId="11" borderId="0" xfId="36" applyNumberFormat="1" applyFill="1" applyAlignment="1">
      <alignment horizontal="right"/>
    </xf>
    <xf numFmtId="3" fontId="85" fillId="11" borderId="0" xfId="36" applyNumberFormat="1" applyFont="1" applyFill="1" applyAlignment="1">
      <alignment horizontal="right"/>
    </xf>
    <xf numFmtId="9" fontId="84" fillId="11" borderId="0" xfId="36" applyNumberFormat="1" applyFont="1" applyFill="1" applyAlignment="1">
      <alignment horizontal="center"/>
    </xf>
    <xf numFmtId="0" fontId="87" fillId="11" borderId="3" xfId="36" applyFont="1" applyFill="1" applyBorder="1" applyAlignment="1">
      <alignment horizontal="right" vertical="center"/>
    </xf>
    <xf numFmtId="181" fontId="87" fillId="11" borderId="17" xfId="36" applyNumberFormat="1" applyFont="1" applyFill="1" applyBorder="1" applyAlignment="1">
      <alignment horizontal="left" vertical="center"/>
    </xf>
    <xf numFmtId="165" fontId="6" fillId="11" borderId="0" xfId="36" applyNumberFormat="1" applyFill="1"/>
    <xf numFmtId="164" fontId="6" fillId="11" borderId="0" xfId="36" applyNumberFormat="1" applyFill="1" applyAlignment="1">
      <alignment horizontal="center"/>
    </xf>
    <xf numFmtId="0" fontId="87" fillId="11" borderId="10" xfId="36" applyFont="1" applyFill="1" applyBorder="1" applyAlignment="1">
      <alignment horizontal="right" vertical="center"/>
    </xf>
    <xf numFmtId="181" fontId="87" fillId="11" borderId="4" xfId="36" applyNumberFormat="1" applyFont="1" applyFill="1" applyBorder="1" applyAlignment="1">
      <alignment horizontal="left" vertical="center"/>
    </xf>
    <xf numFmtId="191" fontId="6" fillId="11" borderId="0" xfId="36" applyNumberFormat="1" applyFill="1" applyAlignment="1">
      <alignment horizontal="center"/>
    </xf>
    <xf numFmtId="6" fontId="28" fillId="11" borderId="0" xfId="36" applyNumberFormat="1" applyFont="1" applyFill="1" applyAlignment="1">
      <alignment horizontal="right"/>
    </xf>
    <xf numFmtId="0" fontId="6" fillId="11" borderId="26" xfId="36" applyFill="1" applyBorder="1" applyAlignment="1">
      <alignment horizontal="center"/>
    </xf>
    <xf numFmtId="0" fontId="86" fillId="11" borderId="1" xfId="36" applyFont="1" applyFill="1" applyBorder="1"/>
    <xf numFmtId="0" fontId="6" fillId="11" borderId="1" xfId="36" applyFill="1" applyBorder="1"/>
    <xf numFmtId="0" fontId="6" fillId="11" borderId="1" xfId="36" applyFill="1" applyBorder="1" applyAlignment="1">
      <alignment horizontal="right"/>
    </xf>
    <xf numFmtId="0" fontId="57" fillId="11" borderId="1" xfId="36" applyFont="1" applyFill="1" applyBorder="1" applyAlignment="1">
      <alignment horizontal="right"/>
    </xf>
    <xf numFmtId="0" fontId="57" fillId="11" borderId="1" xfId="36" applyFont="1" applyFill="1" applyBorder="1" applyAlignment="1">
      <alignment horizontal="left"/>
    </xf>
    <xf numFmtId="0" fontId="57" fillId="11" borderId="28" xfId="36" applyFont="1" applyFill="1" applyBorder="1" applyAlignment="1">
      <alignment horizontal="left"/>
    </xf>
    <xf numFmtId="0" fontId="6" fillId="11" borderId="1" xfId="36" applyFill="1" applyBorder="1" applyAlignment="1">
      <alignment horizontal="center"/>
    </xf>
    <xf numFmtId="0" fontId="89" fillId="11" borderId="0" xfId="36" applyFont="1" applyFill="1" applyAlignment="1">
      <alignment horizontal="center"/>
    </xf>
    <xf numFmtId="0" fontId="89" fillId="11" borderId="0" xfId="36" applyFont="1" applyFill="1" applyAlignment="1">
      <alignment horizontal="right"/>
    </xf>
    <xf numFmtId="182" fontId="28" fillId="11" borderId="0" xfId="36" applyNumberFormat="1" applyFont="1" applyFill="1" applyAlignment="1">
      <alignment horizontal="left"/>
    </xf>
    <xf numFmtId="164" fontId="90" fillId="11" borderId="0" xfId="36" applyNumberFormat="1" applyFont="1" applyFill="1" applyAlignment="1">
      <alignment horizontal="left"/>
    </xf>
    <xf numFmtId="164" fontId="90" fillId="11" borderId="25" xfId="36" applyNumberFormat="1" applyFont="1" applyFill="1" applyBorder="1" applyAlignment="1">
      <alignment horizontal="center"/>
    </xf>
    <xf numFmtId="164" fontId="92" fillId="23" borderId="0" xfId="36" applyNumberFormat="1" applyFont="1" applyFill="1" applyAlignment="1">
      <alignment horizontal="center"/>
    </xf>
    <xf numFmtId="3" fontId="6" fillId="11" borderId="0" xfId="36" applyNumberFormat="1" applyFill="1"/>
    <xf numFmtId="183" fontId="84" fillId="23" borderId="0" xfId="36" applyNumberFormat="1" applyFont="1" applyFill="1" applyAlignment="1">
      <alignment horizontal="right"/>
    </xf>
    <xf numFmtId="184" fontId="92" fillId="23" borderId="0" xfId="36" applyNumberFormat="1" applyFont="1" applyFill="1" applyAlignment="1" applyProtection="1">
      <alignment horizontal="right"/>
      <protection locked="0"/>
    </xf>
    <xf numFmtId="185" fontId="28" fillId="11" borderId="0" xfId="36" applyNumberFormat="1" applyFont="1" applyFill="1" applyAlignment="1">
      <alignment horizontal="left"/>
    </xf>
    <xf numFmtId="164" fontId="6" fillId="11" borderId="25" xfId="36" applyNumberFormat="1" applyFill="1" applyBorder="1" applyAlignment="1">
      <alignment horizontal="center"/>
    </xf>
    <xf numFmtId="164" fontId="28" fillId="11" borderId="0" xfId="36" applyNumberFormat="1" applyFont="1" applyFill="1" applyAlignment="1">
      <alignment horizontal="center"/>
    </xf>
    <xf numFmtId="191" fontId="6" fillId="11" borderId="0" xfId="36" applyNumberFormat="1" applyFill="1"/>
    <xf numFmtId="184" fontId="84" fillId="11" borderId="0" xfId="36" applyNumberFormat="1" applyFont="1" applyFill="1"/>
    <xf numFmtId="9" fontId="28" fillId="11" borderId="0" xfId="36" applyNumberFormat="1" applyFont="1" applyFill="1" applyAlignment="1">
      <alignment horizontal="center"/>
    </xf>
    <xf numFmtId="10" fontId="6" fillId="11" borderId="0" xfId="36" applyNumberFormat="1" applyFill="1" applyAlignment="1">
      <alignment horizontal="center"/>
    </xf>
    <xf numFmtId="184" fontId="84" fillId="11" borderId="1" xfId="36" applyNumberFormat="1" applyFont="1" applyFill="1" applyBorder="1"/>
    <xf numFmtId="185" fontId="28" fillId="11" borderId="1" xfId="36" applyNumberFormat="1" applyFont="1" applyFill="1" applyBorder="1" applyAlignment="1">
      <alignment horizontal="left"/>
    </xf>
    <xf numFmtId="172" fontId="6" fillId="11" borderId="1" xfId="36" applyNumberFormat="1" applyFill="1" applyBorder="1" applyAlignment="1">
      <alignment horizontal="right"/>
    </xf>
    <xf numFmtId="0" fontId="69" fillId="11" borderId="0" xfId="36" applyFont="1" applyFill="1" applyAlignment="1">
      <alignment horizontal="left"/>
    </xf>
    <xf numFmtId="9" fontId="84" fillId="11" borderId="0" xfId="36" applyNumberFormat="1" applyFont="1" applyFill="1" applyAlignment="1">
      <alignment horizontal="right"/>
    </xf>
    <xf numFmtId="9" fontId="28" fillId="11" borderId="0" xfId="36" applyNumberFormat="1" applyFont="1" applyFill="1" applyAlignment="1">
      <alignment horizontal="right"/>
    </xf>
    <xf numFmtId="10" fontId="6" fillId="11" borderId="0" xfId="36" applyNumberFormat="1" applyFill="1" applyAlignment="1">
      <alignment horizontal="right"/>
    </xf>
    <xf numFmtId="0" fontId="6" fillId="11" borderId="0" xfId="36" applyFill="1" applyAlignment="1">
      <alignment horizontal="left" indent="1"/>
    </xf>
    <xf numFmtId="165" fontId="92" fillId="24" borderId="0" xfId="37" applyNumberFormat="1" applyFont="1" applyFill="1" applyAlignment="1">
      <alignment horizontal="center"/>
    </xf>
    <xf numFmtId="10" fontId="92" fillId="24" borderId="0" xfId="39" applyNumberFormat="1" applyFont="1" applyFill="1" applyAlignment="1">
      <alignment horizontal="right"/>
    </xf>
    <xf numFmtId="2" fontId="92" fillId="24" borderId="0" xfId="36" applyNumberFormat="1" applyFont="1" applyFill="1" applyAlignment="1">
      <alignment horizontal="right"/>
    </xf>
    <xf numFmtId="0" fontId="60" fillId="11" borderId="0" xfId="36" applyFont="1" applyFill="1" applyAlignment="1">
      <alignment horizontal="left" indent="1"/>
    </xf>
    <xf numFmtId="0" fontId="60" fillId="11" borderId="0" xfId="36" applyFont="1" applyFill="1"/>
    <xf numFmtId="165" fontId="60" fillId="24" borderId="0" xfId="37" applyNumberFormat="1" applyFont="1" applyFill="1" applyAlignment="1">
      <alignment horizontal="center"/>
    </xf>
    <xf numFmtId="185" fontId="60" fillId="11" borderId="0" xfId="36" applyNumberFormat="1" applyFont="1" applyFill="1" applyAlignment="1">
      <alignment horizontal="left"/>
    </xf>
    <xf numFmtId="3" fontId="60" fillId="11" borderId="0" xfId="36" applyNumberFormat="1" applyFont="1" applyFill="1" applyAlignment="1">
      <alignment horizontal="right"/>
    </xf>
    <xf numFmtId="0" fontId="60" fillId="22" borderId="0" xfId="36" applyFont="1" applyFill="1"/>
    <xf numFmtId="0" fontId="56" fillId="11" borderId="0" xfId="36" applyFont="1" applyFill="1" applyAlignment="1">
      <alignment horizontal="left" indent="1"/>
    </xf>
    <xf numFmtId="0" fontId="56" fillId="11" borderId="0" xfId="36" applyFont="1" applyFill="1"/>
    <xf numFmtId="6" fontId="56" fillId="11" borderId="0" xfId="36" applyNumberFormat="1" applyFont="1" applyFill="1"/>
    <xf numFmtId="0" fontId="28" fillId="22" borderId="0" xfId="36" applyFont="1" applyFill="1"/>
    <xf numFmtId="187" fontId="6" fillId="23" borderId="0" xfId="36" applyNumberFormat="1" applyFill="1" applyAlignment="1" applyProtection="1">
      <alignment horizontal="right"/>
      <protection locked="0"/>
    </xf>
    <xf numFmtId="187" fontId="6" fillId="11" borderId="0" xfId="36" applyNumberFormat="1" applyFill="1" applyAlignment="1">
      <alignment horizontal="right"/>
    </xf>
    <xf numFmtId="0" fontId="28" fillId="11" borderId="0" xfId="36" applyFont="1" applyFill="1"/>
    <xf numFmtId="3" fontId="28" fillId="11" borderId="0" xfId="36" applyNumberFormat="1" applyFont="1" applyFill="1" applyAlignment="1" applyProtection="1">
      <alignment horizontal="right"/>
      <protection locked="0"/>
    </xf>
    <xf numFmtId="10" fontId="92" fillId="23" borderId="0" xfId="36" applyNumberFormat="1" applyFont="1" applyFill="1" applyAlignment="1">
      <alignment horizontal="right"/>
    </xf>
    <xf numFmtId="10" fontId="92" fillId="23" borderId="0" xfId="36" applyNumberFormat="1" applyFont="1" applyFill="1"/>
    <xf numFmtId="0" fontId="28" fillId="11" borderId="0" xfId="37" applyNumberFormat="1" applyFont="1" applyFill="1" applyAlignment="1"/>
    <xf numFmtId="0" fontId="95" fillId="11" borderId="0" xfId="36" applyFont="1" applyFill="1"/>
    <xf numFmtId="179" fontId="6" fillId="11" borderId="0" xfId="36" applyNumberFormat="1" applyFill="1" applyAlignment="1">
      <alignment horizontal="right"/>
    </xf>
    <xf numFmtId="3" fontId="56" fillId="11" borderId="0" xfId="36" applyNumberFormat="1" applyFont="1" applyFill="1" applyAlignment="1">
      <alignment horizontal="right"/>
    </xf>
    <xf numFmtId="0" fontId="59" fillId="11" borderId="1" xfId="36" applyFont="1" applyFill="1" applyBorder="1" applyAlignment="1">
      <alignment horizontal="right"/>
    </xf>
    <xf numFmtId="164" fontId="59" fillId="11" borderId="1" xfId="36" applyNumberFormat="1" applyFont="1" applyFill="1" applyBorder="1" applyAlignment="1">
      <alignment horizontal="left"/>
    </xf>
    <xf numFmtId="3" fontId="6" fillId="11" borderId="0" xfId="36" applyNumberFormat="1" applyFill="1" applyAlignment="1">
      <alignment horizontal="right"/>
    </xf>
    <xf numFmtId="3" fontId="38" fillId="11" borderId="0" xfId="36" applyNumberFormat="1" applyFont="1" applyFill="1" applyAlignment="1">
      <alignment horizontal="right"/>
    </xf>
    <xf numFmtId="4" fontId="6" fillId="11" borderId="0" xfId="36" applyNumberFormat="1" applyFill="1" applyAlignment="1">
      <alignment horizontal="left"/>
    </xf>
    <xf numFmtId="10" fontId="91" fillId="0" borderId="0" xfId="36" applyNumberFormat="1" applyFont="1" applyAlignment="1">
      <alignment horizontal="right"/>
    </xf>
    <xf numFmtId="188" fontId="6" fillId="11" borderId="0" xfId="36" applyNumberFormat="1" applyFill="1" applyAlignment="1">
      <alignment horizontal="left"/>
    </xf>
    <xf numFmtId="0" fontId="54" fillId="11" borderId="0" xfId="36" applyFont="1" applyFill="1" applyAlignment="1">
      <alignment horizontal="right"/>
    </xf>
    <xf numFmtId="8" fontId="16" fillId="3" borderId="0" xfId="0" applyNumberFormat="1" applyFont="1" applyFill="1"/>
    <xf numFmtId="0" fontId="96" fillId="0" borderId="0" xfId="0" applyFont="1"/>
    <xf numFmtId="6" fontId="96" fillId="0" borderId="0" xfId="0" applyNumberFormat="1" applyFont="1"/>
    <xf numFmtId="6" fontId="97" fillId="0" borderId="0" xfId="0" applyNumberFormat="1" applyFont="1"/>
    <xf numFmtId="6" fontId="96" fillId="0" borderId="0" xfId="0" applyNumberFormat="1" applyFont="1" applyAlignment="1">
      <alignment horizontal="right"/>
    </xf>
    <xf numFmtId="6" fontId="96" fillId="0" borderId="1" xfId="0" applyNumberFormat="1" applyFont="1" applyBorder="1" applyAlignment="1">
      <alignment horizontal="right"/>
    </xf>
    <xf numFmtId="0" fontId="96" fillId="0" borderId="0" xfId="0" applyFont="1" applyAlignment="1">
      <alignment horizontal="right"/>
    </xf>
    <xf numFmtId="0" fontId="96" fillId="21" borderId="0" xfId="0" applyFont="1" applyFill="1"/>
    <xf numFmtId="44" fontId="99" fillId="13" borderId="0" xfId="25" applyNumberFormat="1" applyFont="1" applyAlignment="1">
      <alignment horizontal="center"/>
    </xf>
    <xf numFmtId="44" fontId="99" fillId="13" borderId="0" xfId="25" applyNumberFormat="1" applyFont="1" applyBorder="1" applyAlignment="1">
      <alignment horizontal="center"/>
    </xf>
    <xf numFmtId="44" fontId="100" fillId="27" borderId="0" xfId="40" applyNumberFormat="1" applyFont="1" applyAlignment="1">
      <alignment horizontal="center"/>
    </xf>
    <xf numFmtId="44" fontId="100" fillId="27" borderId="0" xfId="40" applyNumberFormat="1" applyFont="1" applyBorder="1" applyAlignment="1">
      <alignment horizontal="center"/>
    </xf>
    <xf numFmtId="6" fontId="98" fillId="0" borderId="0" xfId="0" applyNumberFormat="1" applyFont="1" applyAlignment="1">
      <alignment horizontal="center"/>
    </xf>
    <xf numFmtId="9" fontId="98" fillId="0" borderId="0" xfId="0" applyNumberFormat="1" applyFont="1" applyAlignment="1">
      <alignment horizontal="center"/>
    </xf>
    <xf numFmtId="0" fontId="20" fillId="5" borderId="30" xfId="5" applyFont="1" applyFill="1" applyBorder="1" applyAlignment="1">
      <alignment horizontal="center"/>
    </xf>
    <xf numFmtId="0" fontId="15" fillId="0" borderId="32" xfId="0" applyFont="1" applyBorder="1" applyAlignment="1">
      <alignment horizontal="center"/>
    </xf>
    <xf numFmtId="44" fontId="101" fillId="13" borderId="0" xfId="25" applyNumberFormat="1" applyFont="1" applyAlignment="1">
      <alignment horizontal="center"/>
    </xf>
    <xf numFmtId="0" fontId="16" fillId="0" borderId="0" xfId="1" applyNumberFormat="1" applyFont="1" applyAlignment="1">
      <alignment horizontal="center"/>
    </xf>
    <xf numFmtId="0" fontId="102" fillId="0" borderId="31" xfId="0" applyFont="1" applyBorder="1"/>
    <xf numFmtId="0" fontId="103" fillId="0" borderId="32" xfId="0" applyFont="1" applyBorder="1" applyAlignment="1">
      <alignment horizontal="center"/>
    </xf>
    <xf numFmtId="0" fontId="103" fillId="0" borderId="33" xfId="0" applyFont="1" applyBorder="1" applyAlignment="1">
      <alignment horizontal="center"/>
    </xf>
    <xf numFmtId="0" fontId="102" fillId="0" borderId="0" xfId="0" applyFont="1" applyAlignment="1">
      <alignment horizontal="right"/>
    </xf>
    <xf numFmtId="10" fontId="103" fillId="0" borderId="0" xfId="0" applyNumberFormat="1" applyFont="1" applyAlignment="1">
      <alignment horizontal="center"/>
    </xf>
    <xf numFmtId="10" fontId="103" fillId="0" borderId="34" xfId="0" applyNumberFormat="1" applyFont="1" applyBorder="1" applyAlignment="1">
      <alignment horizontal="center"/>
    </xf>
    <xf numFmtId="176" fontId="103" fillId="0" borderId="0" xfId="0" applyNumberFormat="1" applyFont="1" applyAlignment="1">
      <alignment horizontal="center"/>
    </xf>
    <xf numFmtId="176" fontId="103" fillId="0" borderId="35" xfId="0" applyNumberFormat="1" applyFont="1" applyBorder="1" applyAlignment="1">
      <alignment horizontal="center"/>
    </xf>
    <xf numFmtId="6" fontId="103" fillId="0" borderId="0" xfId="0" applyNumberFormat="1" applyFont="1" applyAlignment="1">
      <alignment horizontal="center"/>
    </xf>
    <xf numFmtId="6" fontId="103" fillId="0" borderId="35" xfId="0" applyNumberFormat="1" applyFont="1" applyBorder="1" applyAlignment="1">
      <alignment horizontal="center"/>
    </xf>
    <xf numFmtId="165" fontId="103" fillId="0" borderId="0" xfId="0" applyNumberFormat="1" applyFont="1" applyAlignment="1">
      <alignment horizontal="center"/>
    </xf>
    <xf numFmtId="165" fontId="103" fillId="0" borderId="35" xfId="0" applyNumberFormat="1" applyFont="1" applyBorder="1" applyAlignment="1">
      <alignment horizontal="center"/>
    </xf>
    <xf numFmtId="0" fontId="53" fillId="25" borderId="0" xfId="41" applyFont="1" applyFill="1" applyAlignment="1">
      <alignment horizontal="center"/>
    </xf>
    <xf numFmtId="0" fontId="105" fillId="25" borderId="0" xfId="42" applyFont="1" applyFill="1" applyAlignment="1">
      <alignment horizontal="center"/>
    </xf>
    <xf numFmtId="0" fontId="4" fillId="25" borderId="0" xfId="41" applyFill="1"/>
    <xf numFmtId="0" fontId="4" fillId="0" borderId="0" xfId="41"/>
    <xf numFmtId="0" fontId="38" fillId="0" borderId="0" xfId="41" applyFont="1" applyAlignment="1">
      <alignment horizontal="left"/>
    </xf>
    <xf numFmtId="6" fontId="38" fillId="0" borderId="0" xfId="42" applyNumberFormat="1" applyFont="1" applyFill="1" applyAlignment="1">
      <alignment horizontal="right"/>
    </xf>
    <xf numFmtId="192" fontId="106" fillId="0" borderId="0" xfId="41" applyNumberFormat="1" applyFont="1" applyAlignment="1">
      <alignment horizontal="center"/>
    </xf>
    <xf numFmtId="6" fontId="57" fillId="0" borderId="0" xfId="41" applyNumberFormat="1" applyFont="1"/>
    <xf numFmtId="0" fontId="107" fillId="0" borderId="0" xfId="43" applyFont="1" applyAlignment="1">
      <alignment horizontal="center"/>
    </xf>
    <xf numFmtId="193" fontId="106" fillId="0" borderId="0" xfId="41" applyNumberFormat="1" applyFont="1" applyAlignment="1">
      <alignment horizontal="center"/>
    </xf>
    <xf numFmtId="194" fontId="106" fillId="0" borderId="0" xfId="41" applyNumberFormat="1" applyFont="1" applyAlignment="1">
      <alignment horizontal="center"/>
    </xf>
    <xf numFmtId="195" fontId="106" fillId="0" borderId="0" xfId="41" applyNumberFormat="1" applyFont="1" applyAlignment="1">
      <alignment horizontal="center"/>
    </xf>
    <xf numFmtId="6" fontId="107" fillId="0" borderId="0" xfId="43" applyNumberFormat="1" applyFont="1" applyAlignment="1">
      <alignment horizontal="center"/>
    </xf>
    <xf numFmtId="196" fontId="106" fillId="0" borderId="0" xfId="41" applyNumberFormat="1" applyFont="1" applyAlignment="1" applyProtection="1">
      <alignment horizontal="center"/>
      <protection locked="0"/>
    </xf>
    <xf numFmtId="0" fontId="4" fillId="0" borderId="0" xfId="41" applyAlignment="1">
      <alignment horizontal="left" indent="1"/>
    </xf>
    <xf numFmtId="9" fontId="107" fillId="0" borderId="0" xfId="43" applyNumberFormat="1" applyFont="1" applyAlignment="1">
      <alignment horizontal="center"/>
    </xf>
    <xf numFmtId="0" fontId="108" fillId="0" borderId="0" xfId="41" applyFont="1"/>
    <xf numFmtId="6" fontId="4" fillId="0" borderId="0" xfId="41" applyNumberFormat="1"/>
    <xf numFmtId="6" fontId="4" fillId="0" borderId="1" xfId="41" applyNumberFormat="1" applyBorder="1"/>
    <xf numFmtId="6" fontId="4" fillId="0" borderId="29" xfId="41" applyNumberFormat="1" applyBorder="1"/>
    <xf numFmtId="10" fontId="107" fillId="0" borderId="0" xfId="43" applyNumberFormat="1" applyFont="1" applyAlignment="1">
      <alignment horizontal="center"/>
    </xf>
    <xf numFmtId="8" fontId="57" fillId="0" borderId="0" xfId="41" applyNumberFormat="1" applyFont="1"/>
    <xf numFmtId="0" fontId="107" fillId="0" borderId="0" xfId="44" applyNumberFormat="1" applyFont="1" applyAlignment="1">
      <alignment horizontal="center"/>
    </xf>
    <xf numFmtId="8" fontId="4" fillId="0" borderId="0" xfId="41" applyNumberFormat="1" applyAlignment="1">
      <alignment horizontal="center"/>
    </xf>
    <xf numFmtId="6" fontId="28" fillId="0" borderId="0" xfId="43" applyNumberFormat="1" applyFont="1" applyAlignment="1">
      <alignment horizontal="center"/>
    </xf>
    <xf numFmtId="9" fontId="0" fillId="0" borderId="0" xfId="45" applyFont="1" applyAlignment="1">
      <alignment horizontal="center"/>
    </xf>
    <xf numFmtId="6" fontId="4" fillId="0" borderId="0" xfId="41" applyNumberFormat="1" applyAlignment="1">
      <alignment horizontal="center"/>
    </xf>
    <xf numFmtId="164" fontId="0" fillId="0" borderId="0" xfId="45" applyNumberFormat="1" applyFont="1" applyBorder="1" applyAlignment="1">
      <alignment horizontal="center"/>
    </xf>
    <xf numFmtId="0" fontId="57" fillId="0" borderId="0" xfId="41" applyFont="1"/>
    <xf numFmtId="0" fontId="53" fillId="0" borderId="0" xfId="26" applyFont="1" applyFill="1" applyAlignment="1"/>
    <xf numFmtId="6" fontId="109" fillId="0" borderId="0" xfId="0" applyNumberFormat="1" applyFont="1" applyAlignment="1">
      <alignment horizontal="center"/>
    </xf>
    <xf numFmtId="0" fontId="109" fillId="0" borderId="0" xfId="0" applyFont="1" applyAlignment="1">
      <alignment horizontal="center"/>
    </xf>
    <xf numFmtId="0" fontId="90" fillId="0" borderId="0" xfId="0" applyFont="1" applyAlignment="1">
      <alignment horizontal="center"/>
    </xf>
    <xf numFmtId="0" fontId="14" fillId="0" borderId="0" xfId="46" applyFont="1"/>
    <xf numFmtId="0" fontId="3" fillId="0" borderId="0" xfId="46"/>
    <xf numFmtId="0" fontId="80" fillId="0" borderId="0" xfId="46" applyFont="1"/>
    <xf numFmtId="0" fontId="15" fillId="0" borderId="0" xfId="46" applyFont="1" applyAlignment="1">
      <alignment horizontal="center"/>
    </xf>
    <xf numFmtId="0" fontId="20" fillId="5" borderId="0" xfId="47" applyFont="1" applyFill="1" applyAlignment="1">
      <alignment horizontal="left"/>
    </xf>
    <xf numFmtId="0" fontId="20" fillId="5" borderId="0" xfId="47" applyFont="1" applyFill="1" applyAlignment="1">
      <alignment horizontal="center"/>
    </xf>
    <xf numFmtId="0" fontId="3" fillId="0" borderId="0" xfId="46" applyAlignment="1">
      <alignment horizontal="center"/>
    </xf>
    <xf numFmtId="0" fontId="3" fillId="0" borderId="0" xfId="47" applyAlignment="1">
      <alignment horizontal="left" indent="1"/>
    </xf>
    <xf numFmtId="6" fontId="16" fillId="0" borderId="0" xfId="48" applyNumberFormat="1" applyFont="1" applyBorder="1" applyAlignment="1">
      <alignment horizontal="right"/>
    </xf>
    <xf numFmtId="6" fontId="3" fillId="0" borderId="0" xfId="46" applyNumberFormat="1" applyAlignment="1">
      <alignment horizontal="center"/>
    </xf>
    <xf numFmtId="0" fontId="3" fillId="0" borderId="0" xfId="46" applyAlignment="1">
      <alignment horizontal="right"/>
    </xf>
    <xf numFmtId="0" fontId="110" fillId="0" borderId="0" xfId="49" applyNumberFormat="1" applyFont="1" applyAlignment="1">
      <alignment horizontal="center"/>
    </xf>
    <xf numFmtId="0" fontId="80" fillId="0" borderId="0" xfId="46" applyFont="1" applyAlignment="1">
      <alignment horizontal="left"/>
    </xf>
    <xf numFmtId="0" fontId="3" fillId="0" borderId="0" xfId="46" applyAlignment="1">
      <alignment horizontal="left" indent="1"/>
    </xf>
    <xf numFmtId="0" fontId="14" fillId="0" borderId="1" xfId="47" applyFont="1" applyBorder="1"/>
    <xf numFmtId="0" fontId="14" fillId="0" borderId="1" xfId="47" applyFont="1" applyBorder="1" applyAlignment="1">
      <alignment horizontal="center"/>
    </xf>
    <xf numFmtId="0" fontId="3" fillId="0" borderId="0" xfId="46" quotePrefix="1"/>
    <xf numFmtId="164" fontId="3" fillId="0" borderId="0" xfId="46" applyNumberFormat="1" applyAlignment="1">
      <alignment horizontal="center"/>
    </xf>
    <xf numFmtId="0" fontId="3" fillId="0" borderId="1" xfId="47" applyBorder="1" applyAlignment="1">
      <alignment horizontal="left" indent="1"/>
    </xf>
    <xf numFmtId="0" fontId="3" fillId="0" borderId="1" xfId="46" applyBorder="1" applyAlignment="1">
      <alignment horizontal="center"/>
    </xf>
    <xf numFmtId="164" fontId="3" fillId="0" borderId="1" xfId="46" applyNumberFormat="1" applyBorder="1" applyAlignment="1">
      <alignment horizontal="center"/>
    </xf>
    <xf numFmtId="0" fontId="14" fillId="0" borderId="0" xfId="47" applyFont="1"/>
    <xf numFmtId="0" fontId="14" fillId="0" borderId="0" xfId="47" applyFont="1" applyAlignment="1">
      <alignment horizontal="center"/>
    </xf>
    <xf numFmtId="0" fontId="111" fillId="0" borderId="0" xfId="46" applyFont="1" applyAlignment="1">
      <alignment horizontal="center"/>
    </xf>
    <xf numFmtId="0" fontId="3" fillId="0" borderId="0" xfId="47" applyAlignment="1">
      <alignment horizontal="left"/>
    </xf>
    <xf numFmtId="0" fontId="16" fillId="0" borderId="0" xfId="46" applyFont="1" applyAlignment="1">
      <alignment horizontal="center"/>
    </xf>
    <xf numFmtId="43" fontId="3" fillId="0" borderId="0" xfId="46" applyNumberFormat="1"/>
    <xf numFmtId="0" fontId="20" fillId="6" borderId="0" xfId="47" applyFont="1" applyFill="1" applyAlignment="1">
      <alignment horizontal="left"/>
    </xf>
    <xf numFmtId="0" fontId="20" fillId="6" borderId="0" xfId="47" applyFont="1" applyFill="1" applyAlignment="1">
      <alignment horizontal="center"/>
    </xf>
    <xf numFmtId="165" fontId="15" fillId="0" borderId="0" xfId="49" applyNumberFormat="1" applyFont="1" applyFill="1"/>
    <xf numFmtId="172" fontId="20" fillId="6" borderId="0" xfId="46" applyNumberFormat="1" applyFont="1" applyFill="1" applyAlignment="1">
      <alignment horizontal="center"/>
    </xf>
    <xf numFmtId="0" fontId="112" fillId="0" borderId="0" xfId="50" applyNumberFormat="1" applyFont="1" applyFill="1" applyAlignment="1">
      <alignment horizontal="center"/>
    </xf>
    <xf numFmtId="0" fontId="113" fillId="0" borderId="0" xfId="46" applyFont="1" applyAlignment="1">
      <alignment horizontal="right"/>
    </xf>
    <xf numFmtId="165" fontId="0" fillId="0" borderId="0" xfId="49" applyNumberFormat="1" applyFont="1"/>
    <xf numFmtId="0" fontId="111" fillId="0" borderId="0" xfId="46" applyFont="1"/>
    <xf numFmtId="165" fontId="111" fillId="0" borderId="0" xfId="49" applyNumberFormat="1" applyFont="1" applyFill="1" applyAlignment="1">
      <alignment horizontal="right"/>
    </xf>
    <xf numFmtId="175" fontId="111" fillId="0" borderId="0" xfId="46" applyNumberFormat="1" applyFont="1" applyAlignment="1">
      <alignment horizontal="right"/>
    </xf>
    <xf numFmtId="175" fontId="114" fillId="0" borderId="0" xfId="49" applyNumberFormat="1" applyFont="1" applyFill="1" applyBorder="1"/>
    <xf numFmtId="44" fontId="3" fillId="0" borderId="0" xfId="46" applyNumberFormat="1"/>
    <xf numFmtId="166" fontId="15" fillId="0" borderId="0" xfId="50" applyNumberFormat="1" applyFont="1" applyFill="1"/>
    <xf numFmtId="44" fontId="99" fillId="0" borderId="0" xfId="25" applyNumberFormat="1" applyFont="1" applyFill="1" applyBorder="1" applyAlignment="1">
      <alignment horizontal="center"/>
    </xf>
    <xf numFmtId="166" fontId="112" fillId="0" borderId="0" xfId="50" applyNumberFormat="1" applyFont="1" applyFill="1" applyAlignment="1">
      <alignment horizontal="center"/>
    </xf>
    <xf numFmtId="0" fontId="113" fillId="0" borderId="0" xfId="46" applyFont="1" applyAlignment="1">
      <alignment horizontal="center"/>
    </xf>
    <xf numFmtId="9" fontId="98" fillId="0" borderId="0" xfId="46" applyNumberFormat="1" applyFont="1" applyAlignment="1">
      <alignment horizontal="center"/>
    </xf>
    <xf numFmtId="165" fontId="15" fillId="7" borderId="0" xfId="49" applyNumberFormat="1" applyFont="1" applyFill="1"/>
    <xf numFmtId="165" fontId="15" fillId="7" borderId="1" xfId="49" applyNumberFormat="1" applyFont="1" applyFill="1" applyBorder="1"/>
    <xf numFmtId="0" fontId="3" fillId="0" borderId="0" xfId="46" applyAlignment="1">
      <alignment horizontal="left"/>
    </xf>
    <xf numFmtId="165" fontId="55" fillId="0" borderId="0" xfId="49" applyNumberFormat="1" applyFont="1" applyFill="1"/>
    <xf numFmtId="165" fontId="14" fillId="0" borderId="0" xfId="49" applyNumberFormat="1" applyFont="1" applyFill="1" applyBorder="1"/>
    <xf numFmtId="6" fontId="98" fillId="0" borderId="0" xfId="46" applyNumberFormat="1" applyFont="1" applyAlignment="1">
      <alignment horizontal="center"/>
    </xf>
    <xf numFmtId="0" fontId="23" fillId="0" borderId="0" xfId="46" applyFont="1" applyAlignment="1">
      <alignment horizontal="right"/>
    </xf>
    <xf numFmtId="164" fontId="111" fillId="0" borderId="0" xfId="49" applyNumberFormat="1" applyFont="1" applyFill="1" applyAlignment="1">
      <alignment horizontal="right"/>
    </xf>
    <xf numFmtId="166" fontId="3" fillId="0" borderId="0" xfId="46" applyNumberFormat="1"/>
    <xf numFmtId="0" fontId="111" fillId="0" borderId="0" xfId="46" applyFont="1" applyAlignment="1">
      <alignment horizontal="right"/>
    </xf>
    <xf numFmtId="0" fontId="15" fillId="0" borderId="0" xfId="46" applyFont="1"/>
    <xf numFmtId="3" fontId="14" fillId="0" borderId="0" xfId="46" applyNumberFormat="1" applyFont="1"/>
    <xf numFmtId="3" fontId="28" fillId="0" borderId="0" xfId="34" applyNumberFormat="1" applyFont="1"/>
    <xf numFmtId="10" fontId="28" fillId="0" borderId="0" xfId="34" applyNumberFormat="1" applyFont="1"/>
    <xf numFmtId="186" fontId="28" fillId="0" borderId="0" xfId="34" applyNumberFormat="1" applyFont="1"/>
    <xf numFmtId="0" fontId="28" fillId="0" borderId="0" xfId="34" applyFont="1"/>
    <xf numFmtId="184" fontId="28" fillId="0" borderId="0" xfId="34" applyNumberFormat="1" applyFont="1"/>
    <xf numFmtId="0" fontId="28" fillId="0" borderId="0" xfId="34" applyFont="1" applyAlignment="1">
      <alignment horizontal="left" indent="1"/>
    </xf>
    <xf numFmtId="0" fontId="28" fillId="0" borderId="0" xfId="34" applyFont="1" applyAlignment="1">
      <alignment horizontal="left"/>
    </xf>
    <xf numFmtId="8" fontId="4" fillId="0" borderId="0" xfId="41" applyNumberFormat="1"/>
    <xf numFmtId="9" fontId="4" fillId="0" borderId="0" xfId="41" applyNumberFormat="1"/>
    <xf numFmtId="10" fontId="0" fillId="0" borderId="0" xfId="45" applyNumberFormat="1" applyFont="1" applyAlignment="1">
      <alignment horizontal="center"/>
    </xf>
    <xf numFmtId="0" fontId="2" fillId="0" borderId="0" xfId="41" applyFont="1"/>
    <xf numFmtId="6" fontId="28" fillId="0" borderId="0" xfId="26" applyNumberFormat="1" applyFont="1" applyFill="1" applyBorder="1" applyAlignment="1">
      <alignment horizontal="right"/>
    </xf>
    <xf numFmtId="6" fontId="57" fillId="0" borderId="0" xfId="28" applyNumberFormat="1" applyFont="1"/>
    <xf numFmtId="0" fontId="94" fillId="0" borderId="0" xfId="28" applyFont="1"/>
    <xf numFmtId="0" fontId="57" fillId="0" borderId="0" xfId="27" applyFont="1" applyFill="1" applyAlignment="1">
      <alignment horizontal="center"/>
    </xf>
    <xf numFmtId="0" fontId="28" fillId="0" borderId="0" xfId="26" applyNumberFormat="1" applyFont="1" applyFill="1" applyBorder="1" applyAlignment="1">
      <alignment horizontal="right"/>
    </xf>
    <xf numFmtId="0" fontId="57" fillId="29" borderId="0" xfId="28" applyFont="1" applyFill="1" applyAlignment="1">
      <alignment horizontal="center"/>
    </xf>
    <xf numFmtId="0" fontId="53" fillId="30" borderId="0" xfId="28" applyFont="1" applyFill="1" applyAlignment="1">
      <alignment horizontal="center"/>
    </xf>
    <xf numFmtId="0" fontId="53" fillId="30" borderId="19" xfId="28" applyFont="1" applyFill="1" applyBorder="1" applyAlignment="1">
      <alignment horizontal="center"/>
    </xf>
    <xf numFmtId="171" fontId="12" fillId="0" borderId="0" xfId="4" applyNumberFormat="1" applyAlignment="1">
      <alignment horizontal="center"/>
    </xf>
    <xf numFmtId="6" fontId="103" fillId="0" borderId="38" xfId="0" applyNumberFormat="1" applyFont="1" applyBorder="1" applyAlignment="1">
      <alignment horizontal="center"/>
    </xf>
    <xf numFmtId="6" fontId="103" fillId="0" borderId="39" xfId="0" applyNumberFormat="1" applyFont="1" applyBorder="1" applyAlignment="1">
      <alignment horizontal="center"/>
    </xf>
    <xf numFmtId="8" fontId="28" fillId="29" borderId="0" xfId="26" applyNumberFormat="1" applyFont="1" applyFill="1" applyBorder="1" applyAlignment="1">
      <alignment horizontal="right"/>
    </xf>
    <xf numFmtId="8" fontId="28" fillId="29" borderId="37" xfId="26" applyNumberFormat="1" applyFont="1" applyFill="1" applyBorder="1" applyAlignment="1">
      <alignment horizontal="right"/>
    </xf>
    <xf numFmtId="0" fontId="1" fillId="0" borderId="0" xfId="0" quotePrefix="1" applyFont="1" applyAlignment="1">
      <alignment horizontal="left"/>
    </xf>
    <xf numFmtId="0" fontId="1" fillId="0" borderId="0" xfId="0" applyFont="1"/>
    <xf numFmtId="0" fontId="1" fillId="0" borderId="0" xfId="0" applyFont="1" applyAlignment="1">
      <alignment horizontal="right"/>
    </xf>
    <xf numFmtId="10" fontId="16" fillId="0" borderId="0" xfId="15" applyNumberFormat="1" applyFont="1" applyAlignment="1">
      <alignment horizontal="center"/>
    </xf>
    <xf numFmtId="0" fontId="1" fillId="0" borderId="0" xfId="0" applyFont="1" applyAlignment="1">
      <alignment horizontal="left" indent="1"/>
    </xf>
    <xf numFmtId="8" fontId="28" fillId="0" borderId="0" xfId="26" applyNumberFormat="1" applyFont="1" applyFill="1" applyBorder="1" applyAlignment="1">
      <alignment horizontal="right"/>
    </xf>
    <xf numFmtId="8" fontId="28" fillId="29" borderId="1" xfId="26" applyNumberFormat="1" applyFont="1" applyFill="1" applyBorder="1" applyAlignment="1">
      <alignment horizontal="right"/>
    </xf>
    <xf numFmtId="0" fontId="33" fillId="0" borderId="0" xfId="0" applyFont="1" applyAlignment="1">
      <alignment horizontal="center" vertical="center"/>
    </xf>
    <xf numFmtId="0" fontId="0" fillId="0" borderId="0" xfId="0" applyAlignment="1">
      <alignment horizontal="center" vertical="center"/>
    </xf>
    <xf numFmtId="0" fontId="1" fillId="0" borderId="12" xfId="0" applyFont="1" applyBorder="1"/>
    <xf numFmtId="0" fontId="1" fillId="0" borderId="0" xfId="5" applyFont="1" applyAlignment="1">
      <alignment horizontal="left" indent="1"/>
    </xf>
    <xf numFmtId="6" fontId="1" fillId="0" borderId="0" xfId="0" applyNumberFormat="1" applyFont="1" applyAlignment="1">
      <alignment horizontal="center"/>
    </xf>
    <xf numFmtId="0" fontId="116" fillId="32" borderId="42" xfId="0" applyFont="1" applyFill="1" applyBorder="1" applyAlignment="1">
      <alignment horizontal="center" vertical="center" wrapText="1"/>
    </xf>
    <xf numFmtId="0" fontId="116" fillId="32" borderId="43" xfId="0" applyFont="1" applyFill="1" applyBorder="1" applyAlignment="1">
      <alignment horizontal="right" vertical="center" wrapText="1"/>
    </xf>
    <xf numFmtId="0" fontId="116" fillId="32" borderId="44" xfId="0" applyFont="1" applyFill="1" applyBorder="1" applyAlignment="1">
      <alignment horizontal="right" vertical="center" wrapText="1"/>
    </xf>
    <xf numFmtId="8" fontId="1" fillId="0" borderId="0" xfId="0" applyNumberFormat="1" applyFont="1" applyAlignment="1">
      <alignment horizontal="center" vertical="center"/>
    </xf>
    <xf numFmtId="0" fontId="104" fillId="32" borderId="45" xfId="42" applyFill="1" applyBorder="1" applyAlignment="1">
      <alignment horizontal="center" vertical="center" wrapText="1"/>
    </xf>
    <xf numFmtId="0" fontId="117" fillId="32" borderId="0" xfId="0" applyFont="1" applyFill="1" applyAlignment="1">
      <alignment horizontal="right" vertical="center" wrapText="1"/>
    </xf>
    <xf numFmtId="0" fontId="117" fillId="32" borderId="46" xfId="0" applyFont="1" applyFill="1" applyBorder="1" applyAlignment="1">
      <alignment horizontal="right" vertical="center" wrapText="1"/>
    </xf>
    <xf numFmtId="6" fontId="1" fillId="0" borderId="0" xfId="0" applyNumberFormat="1" applyFont="1" applyAlignment="1">
      <alignment horizontal="center" vertical="center"/>
    </xf>
    <xf numFmtId="44" fontId="33" fillId="0" borderId="0" xfId="3" applyFont="1" applyAlignment="1">
      <alignment horizontal="center" vertical="center"/>
    </xf>
    <xf numFmtId="3" fontId="117" fillId="32" borderId="0" xfId="0" applyNumberFormat="1" applyFont="1" applyFill="1" applyAlignment="1">
      <alignment horizontal="right" vertical="center" wrapText="1"/>
    </xf>
    <xf numFmtId="10" fontId="117" fillId="32" borderId="46" xfId="0" applyNumberFormat="1" applyFont="1" applyFill="1" applyBorder="1" applyAlignment="1">
      <alignment horizontal="right" vertical="center" wrapText="1"/>
    </xf>
    <xf numFmtId="3" fontId="1" fillId="0" borderId="0" xfId="0" applyNumberFormat="1" applyFont="1" applyAlignment="1">
      <alignment horizontal="center" vertical="center"/>
    </xf>
    <xf numFmtId="3" fontId="1" fillId="0" borderId="0" xfId="51" applyNumberFormat="1" applyFont="1" applyAlignment="1">
      <alignment horizontal="center" vertical="top"/>
    </xf>
    <xf numFmtId="0" fontId="1" fillId="0" borderId="0" xfId="0" applyFont="1" applyAlignment="1">
      <alignment horizontal="left" vertical="center"/>
    </xf>
    <xf numFmtId="0" fontId="1" fillId="0" borderId="0" xfId="0" applyFont="1" applyAlignment="1">
      <alignment horizontal="center" vertical="center"/>
    </xf>
    <xf numFmtId="0" fontId="104" fillId="32" borderId="47" xfId="42" applyFill="1" applyBorder="1" applyAlignment="1">
      <alignment horizontal="center" vertical="center" wrapText="1"/>
    </xf>
    <xf numFmtId="3" fontId="117" fillId="32" borderId="48" xfId="0" applyNumberFormat="1" applyFont="1" applyFill="1" applyBorder="1" applyAlignment="1">
      <alignment horizontal="right" vertical="center" wrapText="1"/>
    </xf>
    <xf numFmtId="10" fontId="117" fillId="32" borderId="49" xfId="0" applyNumberFormat="1" applyFont="1" applyFill="1" applyBorder="1" applyAlignment="1">
      <alignment horizontal="right" vertical="center" wrapText="1"/>
    </xf>
    <xf numFmtId="6" fontId="0" fillId="0" borderId="0" xfId="0" applyNumberFormat="1" applyAlignment="1">
      <alignment horizontal="center" vertical="center"/>
    </xf>
    <xf numFmtId="0" fontId="118" fillId="32" borderId="45" xfId="0" applyFont="1" applyFill="1" applyBorder="1" applyAlignment="1">
      <alignment horizontal="center" vertical="center" wrapText="1"/>
    </xf>
    <xf numFmtId="9" fontId="0" fillId="0" borderId="0" xfId="4" applyFont="1"/>
    <xf numFmtId="0" fontId="44" fillId="0" borderId="56" xfId="0" applyFont="1" applyBorder="1" applyAlignment="1">
      <alignment horizontal="center" vertical="center" wrapText="1"/>
    </xf>
    <xf numFmtId="6" fontId="18" fillId="0" borderId="56" xfId="0" applyNumberFormat="1" applyFont="1" applyBorder="1" applyAlignment="1">
      <alignment horizontal="center" vertical="center" wrapText="1"/>
    </xf>
    <xf numFmtId="0" fontId="18" fillId="0" borderId="56" xfId="0" applyFont="1" applyBorder="1" applyAlignment="1">
      <alignment horizontal="center" vertical="center" wrapText="1"/>
    </xf>
    <xf numFmtId="10" fontId="18" fillId="0" borderId="56" xfId="0" applyNumberFormat="1" applyFont="1" applyBorder="1" applyAlignment="1">
      <alignment horizontal="center" vertical="center" wrapText="1"/>
    </xf>
    <xf numFmtId="0" fontId="1" fillId="0" borderId="0" xfId="0" applyFont="1" applyAlignment="1">
      <alignment vertical="top" wrapText="1"/>
    </xf>
    <xf numFmtId="0" fontId="1" fillId="0" borderId="17" xfId="0" applyFont="1" applyBorder="1" applyAlignment="1">
      <alignment horizontal="right"/>
    </xf>
    <xf numFmtId="0" fontId="1" fillId="0" borderId="0" xfId="5" applyFont="1"/>
    <xf numFmtId="166" fontId="5" fillId="0" borderId="0" xfId="3" applyNumberFormat="1" applyFont="1"/>
    <xf numFmtId="170" fontId="1" fillId="0" borderId="0" xfId="5" applyNumberFormat="1" applyFont="1"/>
    <xf numFmtId="165" fontId="1" fillId="0" borderId="0" xfId="6" applyNumberFormat="1" applyFont="1"/>
    <xf numFmtId="165" fontId="5" fillId="0" borderId="0" xfId="11" applyNumberFormat="1" applyFont="1"/>
    <xf numFmtId="166" fontId="5" fillId="0" borderId="0" xfId="3" applyNumberFormat="1" applyFont="1" applyAlignment="1">
      <alignment horizontal="right"/>
    </xf>
    <xf numFmtId="44" fontId="5" fillId="0" borderId="0" xfId="3" applyFont="1"/>
    <xf numFmtId="166" fontId="1" fillId="0" borderId="0" xfId="5" applyNumberFormat="1" applyFont="1"/>
    <xf numFmtId="0" fontId="1" fillId="0" borderId="0" xfId="0" applyFont="1" applyAlignment="1">
      <alignment horizontal="left"/>
    </xf>
    <xf numFmtId="6" fontId="1" fillId="0" borderId="13" xfId="0" applyNumberFormat="1" applyFont="1" applyBorder="1" applyAlignment="1">
      <alignment horizontal="center"/>
    </xf>
    <xf numFmtId="8" fontId="1" fillId="0" borderId="0" xfId="0" applyNumberFormat="1" applyFont="1"/>
    <xf numFmtId="0" fontId="1" fillId="0" borderId="0" xfId="0" quotePrefix="1" applyFont="1"/>
    <xf numFmtId="0" fontId="1" fillId="0" borderId="0" xfId="0" applyFont="1" applyAlignment="1">
      <alignment horizontal="center"/>
    </xf>
    <xf numFmtId="164" fontId="1" fillId="0" borderId="0" xfId="0" applyNumberFormat="1" applyFont="1" applyAlignment="1">
      <alignment horizontal="center"/>
    </xf>
    <xf numFmtId="0" fontId="1" fillId="0" borderId="1" xfId="0" applyFont="1" applyBorder="1" applyAlignment="1">
      <alignment horizontal="center"/>
    </xf>
    <xf numFmtId="0" fontId="1" fillId="0" borderId="36" xfId="0" applyFont="1" applyBorder="1" applyAlignment="1">
      <alignment horizontal="center"/>
    </xf>
    <xf numFmtId="0" fontId="1" fillId="0" borderId="0" xfId="0" applyFont="1" applyAlignment="1">
      <alignment horizontal="centerContinuous"/>
    </xf>
    <xf numFmtId="164" fontId="1" fillId="0" borderId="0" xfId="0" applyNumberFormat="1" applyFont="1"/>
    <xf numFmtId="166" fontId="1" fillId="0" borderId="0" xfId="0" applyNumberFormat="1" applyFont="1"/>
    <xf numFmtId="6" fontId="1" fillId="0" borderId="0" xfId="0" applyNumberFormat="1" applyFont="1"/>
    <xf numFmtId="0" fontId="1" fillId="0" borderId="36" xfId="0" applyFont="1" applyBorder="1"/>
    <xf numFmtId="0" fontId="1" fillId="0" borderId="2" xfId="0" applyFont="1" applyBorder="1" applyAlignment="1">
      <alignment horizontal="right"/>
    </xf>
    <xf numFmtId="44" fontId="1" fillId="0" borderId="0" xfId="0" applyNumberFormat="1" applyFont="1"/>
    <xf numFmtId="44" fontId="1" fillId="0" borderId="2" xfId="0" applyNumberFormat="1" applyFont="1" applyBorder="1"/>
    <xf numFmtId="0" fontId="1" fillId="0" borderId="0" xfId="0" applyFont="1" applyAlignment="1">
      <alignment horizontal="left" indent="2"/>
    </xf>
    <xf numFmtId="165" fontId="1" fillId="0" borderId="0" xfId="0" applyNumberFormat="1" applyFont="1"/>
    <xf numFmtId="9" fontId="1" fillId="0" borderId="0" xfId="0" applyNumberFormat="1" applyFont="1"/>
    <xf numFmtId="166" fontId="1" fillId="0" borderId="0" xfId="3" applyNumberFormat="1" applyFont="1"/>
    <xf numFmtId="44" fontId="1" fillId="0" borderId="0" xfId="3" applyFont="1"/>
    <xf numFmtId="0" fontId="1" fillId="5" borderId="0" xfId="0" applyFont="1" applyFill="1"/>
    <xf numFmtId="10" fontId="1" fillId="0" borderId="0" xfId="0" applyNumberFormat="1" applyFont="1"/>
    <xf numFmtId="0" fontId="1" fillId="0" borderId="19" xfId="0" applyFont="1" applyBorder="1" applyAlignment="1">
      <alignment horizontal="center"/>
    </xf>
    <xf numFmtId="10" fontId="1" fillId="0" borderId="0" xfId="0" applyNumberFormat="1" applyFont="1" applyAlignment="1">
      <alignment horizontal="center"/>
    </xf>
    <xf numFmtId="176" fontId="1" fillId="0" borderId="0" xfId="0" applyNumberFormat="1" applyFont="1" applyAlignment="1">
      <alignment horizontal="center"/>
    </xf>
    <xf numFmtId="4" fontId="1" fillId="0" borderId="0" xfId="0" applyNumberFormat="1" applyFont="1" applyAlignment="1">
      <alignment horizontal="center"/>
    </xf>
    <xf numFmtId="9" fontId="1" fillId="0" borderId="0" xfId="0" applyNumberFormat="1" applyFont="1" applyAlignment="1">
      <alignment horizontal="center"/>
    </xf>
    <xf numFmtId="43" fontId="1" fillId="0" borderId="0" xfId="0" applyNumberFormat="1" applyFont="1"/>
    <xf numFmtId="0" fontId="1" fillId="0" borderId="0" xfId="0" applyFont="1" applyAlignment="1">
      <alignment vertical="center"/>
    </xf>
    <xf numFmtId="166" fontId="1" fillId="0" borderId="2" xfId="2" applyNumberFormat="1" applyFont="1" applyBorder="1"/>
    <xf numFmtId="0" fontId="1" fillId="0" borderId="12" xfId="0" applyFont="1" applyBorder="1" applyAlignment="1">
      <alignment horizontal="left"/>
    </xf>
    <xf numFmtId="0" fontId="1" fillId="0" borderId="19" xfId="0" applyFont="1" applyBorder="1"/>
    <xf numFmtId="0" fontId="1" fillId="0" borderId="24" xfId="0" applyFont="1" applyBorder="1" applyAlignment="1">
      <alignment horizontal="center"/>
    </xf>
    <xf numFmtId="8" fontId="1" fillId="0" borderId="0" xfId="0" applyNumberFormat="1" applyFont="1" applyAlignment="1">
      <alignment horizontal="center"/>
    </xf>
    <xf numFmtId="0" fontId="1" fillId="0" borderId="1" xfId="0" applyFont="1" applyBorder="1" applyAlignment="1">
      <alignment horizontal="left" indent="1"/>
    </xf>
    <xf numFmtId="0" fontId="1" fillId="0" borderId="1" xfId="0" applyFont="1" applyBorder="1" applyAlignment="1">
      <alignment horizontal="right"/>
    </xf>
    <xf numFmtId="165" fontId="1" fillId="0" borderId="0" xfId="49" applyNumberFormat="1" applyFont="1" applyBorder="1" applyAlignment="1">
      <alignment horizontal="center"/>
    </xf>
    <xf numFmtId="164" fontId="1" fillId="0" borderId="0" xfId="48" applyNumberFormat="1" applyFont="1" applyBorder="1" applyAlignment="1">
      <alignment horizontal="center"/>
    </xf>
    <xf numFmtId="165" fontId="1" fillId="0" borderId="0" xfId="49" applyNumberFormat="1" applyFont="1" applyFill="1" applyBorder="1"/>
    <xf numFmtId="6" fontId="1" fillId="0" borderId="0" xfId="49" applyNumberFormat="1" applyFont="1" applyFill="1" applyAlignment="1">
      <alignment horizontal="center"/>
    </xf>
    <xf numFmtId="6" fontId="1" fillId="0" borderId="0" xfId="48" applyNumberFormat="1" applyFont="1" applyFill="1" applyBorder="1" applyAlignment="1">
      <alignment horizontal="center"/>
    </xf>
    <xf numFmtId="165" fontId="1" fillId="0" borderId="0" xfId="49" applyNumberFormat="1" applyFont="1" applyFill="1"/>
    <xf numFmtId="3" fontId="1" fillId="0" borderId="0" xfId="48" applyNumberFormat="1" applyFont="1" applyFill="1" applyBorder="1" applyAlignment="1">
      <alignment horizontal="right"/>
    </xf>
    <xf numFmtId="165" fontId="1" fillId="7" borderId="0" xfId="49" applyNumberFormat="1" applyFont="1" applyFill="1" applyAlignment="1">
      <alignment horizontal="center"/>
    </xf>
    <xf numFmtId="165" fontId="1" fillId="0" borderId="0" xfId="48" applyNumberFormat="1" applyFont="1" applyFill="1" applyBorder="1" applyAlignment="1">
      <alignment horizontal="right"/>
    </xf>
    <xf numFmtId="165" fontId="1" fillId="0" borderId="1" xfId="48" applyNumberFormat="1" applyFont="1" applyFill="1" applyBorder="1" applyAlignment="1">
      <alignment horizontal="right"/>
    </xf>
    <xf numFmtId="165" fontId="1" fillId="0" borderId="0" xfId="49" applyNumberFormat="1" applyFont="1"/>
    <xf numFmtId="165" fontId="1" fillId="0" borderId="1" xfId="49" applyNumberFormat="1" applyFont="1" applyFill="1" applyBorder="1"/>
    <xf numFmtId="9" fontId="1" fillId="0" borderId="0" xfId="48" applyFont="1" applyFill="1"/>
    <xf numFmtId="9" fontId="1" fillId="0" borderId="0" xfId="48" applyFont="1"/>
    <xf numFmtId="0" fontId="1" fillId="0" borderId="3" xfId="0" applyFont="1" applyBorder="1"/>
    <xf numFmtId="0" fontId="1" fillId="0" borderId="10" xfId="0" applyFont="1" applyBorder="1"/>
    <xf numFmtId="0" fontId="1" fillId="0" borderId="19" xfId="0" quotePrefix="1" applyFont="1" applyBorder="1" applyAlignment="1">
      <alignment horizontal="left"/>
    </xf>
    <xf numFmtId="0" fontId="1" fillId="0" borderId="0" xfId="28" applyFont="1" applyAlignment="1">
      <alignment horizontal="left" indent="1"/>
    </xf>
    <xf numFmtId="0" fontId="1" fillId="0" borderId="21" xfId="28" applyFont="1" applyBorder="1" applyAlignment="1">
      <alignment horizontal="left" indent="1"/>
    </xf>
    <xf numFmtId="0" fontId="2" fillId="0" borderId="0" xfId="28" applyFont="1"/>
    <xf numFmtId="0" fontId="1" fillId="0" borderId="0" xfId="28" applyFont="1" applyAlignment="1">
      <alignment horizontal="center"/>
    </xf>
    <xf numFmtId="0" fontId="1" fillId="16" borderId="0" xfId="28" applyFont="1" applyFill="1" applyAlignment="1">
      <alignment horizontal="center"/>
    </xf>
    <xf numFmtId="0" fontId="1" fillId="16" borderId="0" xfId="28" applyFont="1" applyFill="1" applyAlignment="1">
      <alignment horizontal="left" indent="1"/>
    </xf>
    <xf numFmtId="0" fontId="14" fillId="0" borderId="57" xfId="5" applyFont="1" applyBorder="1"/>
    <xf numFmtId="166" fontId="14" fillId="0" borderId="57" xfId="7" applyNumberFormat="1" applyFont="1" applyBorder="1"/>
    <xf numFmtId="170" fontId="14" fillId="0" borderId="58" xfId="10" applyNumberFormat="1" applyFont="1" applyBorder="1"/>
    <xf numFmtId="170" fontId="14" fillId="0" borderId="57" xfId="10" applyNumberFormat="1" applyFont="1" applyBorder="1"/>
    <xf numFmtId="0" fontId="14" fillId="0" borderId="57" xfId="0" applyFont="1" applyBorder="1"/>
    <xf numFmtId="166" fontId="1" fillId="0" borderId="57" xfId="0" applyNumberFormat="1" applyFont="1" applyBorder="1"/>
    <xf numFmtId="166" fontId="14" fillId="0" borderId="57" xfId="5" applyNumberFormat="1" applyFont="1" applyBorder="1"/>
    <xf numFmtId="6" fontId="14" fillId="0" borderId="57" xfId="5" applyNumberFormat="1" applyFont="1" applyBorder="1" applyAlignment="1">
      <alignment horizontal="center"/>
    </xf>
    <xf numFmtId="0" fontId="16" fillId="0" borderId="59" xfId="0" applyFont="1" applyBorder="1"/>
    <xf numFmtId="0" fontId="1" fillId="0" borderId="60" xfId="5" quotePrefix="1" applyFont="1" applyBorder="1"/>
    <xf numFmtId="0" fontId="1" fillId="0" borderId="61" xfId="0" applyFont="1" applyBorder="1"/>
    <xf numFmtId="6" fontId="1" fillId="0" borderId="60" xfId="0" applyNumberFormat="1" applyFont="1" applyBorder="1"/>
    <xf numFmtId="0" fontId="20" fillId="6" borderId="62" xfId="5" applyFont="1" applyFill="1" applyBorder="1" applyAlignment="1">
      <alignment horizontal="center"/>
    </xf>
    <xf numFmtId="165" fontId="12" fillId="0" borderId="63" xfId="1" applyNumberFormat="1" applyFill="1" applyBorder="1"/>
    <xf numFmtId="165" fontId="12" fillId="0" borderId="58" xfId="1" applyNumberFormat="1" applyFill="1" applyBorder="1"/>
    <xf numFmtId="6" fontId="96" fillId="0" borderId="57" xfId="0" applyNumberFormat="1" applyFont="1" applyBorder="1"/>
    <xf numFmtId="0" fontId="14" fillId="0" borderId="57" xfId="0" applyFont="1" applyBorder="1" applyAlignment="1">
      <alignment horizontal="left"/>
    </xf>
    <xf numFmtId="165" fontId="24" fillId="7" borderId="57" xfId="1" applyNumberFormat="1" applyFont="1" applyFill="1" applyBorder="1"/>
    <xf numFmtId="165" fontId="14" fillId="0" borderId="64" xfId="1" applyNumberFormat="1" applyFont="1" applyFill="1" applyBorder="1"/>
    <xf numFmtId="165" fontId="14" fillId="0" borderId="57" xfId="1" applyNumberFormat="1" applyFont="1" applyFill="1" applyBorder="1"/>
    <xf numFmtId="0" fontId="14" fillId="0" borderId="58" xfId="0" applyFont="1" applyBorder="1" applyAlignment="1">
      <alignment horizontal="left"/>
    </xf>
    <xf numFmtId="165" fontId="14" fillId="0" borderId="62" xfId="1" applyNumberFormat="1" applyFont="1" applyFill="1" applyBorder="1"/>
    <xf numFmtId="165" fontId="14" fillId="0" borderId="58" xfId="1" applyNumberFormat="1" applyFont="1" applyFill="1" applyBorder="1"/>
    <xf numFmtId="6" fontId="96" fillId="0" borderId="57" xfId="0" applyNumberFormat="1" applyFont="1" applyBorder="1" applyAlignment="1">
      <alignment horizontal="right"/>
    </xf>
    <xf numFmtId="165" fontId="14" fillId="7" borderId="57" xfId="1" applyNumberFormat="1" applyFont="1" applyFill="1" applyBorder="1"/>
    <xf numFmtId="165" fontId="14" fillId="0" borderId="57" xfId="0" applyNumberFormat="1" applyFont="1" applyBorder="1"/>
    <xf numFmtId="165" fontId="12" fillId="7" borderId="57" xfId="1" applyNumberFormat="1" applyFill="1" applyBorder="1"/>
    <xf numFmtId="165" fontId="12" fillId="0" borderId="64" xfId="1" applyNumberFormat="1" applyFill="1" applyBorder="1"/>
    <xf numFmtId="165" fontId="12" fillId="0" borderId="57" xfId="1" applyNumberFormat="1" applyFill="1" applyBorder="1"/>
    <xf numFmtId="0" fontId="14" fillId="0" borderId="65" xfId="10" applyFont="1" applyBorder="1" applyAlignment="1">
      <alignment horizontal="center"/>
    </xf>
    <xf numFmtId="43" fontId="14" fillId="0" borderId="65" xfId="10" applyNumberFormat="1" applyFont="1" applyBorder="1" applyAlignment="1">
      <alignment horizontal="center"/>
    </xf>
    <xf numFmtId="165" fontId="0" fillId="0" borderId="66" xfId="13" applyNumberFormat="1" applyFont="1" applyBorder="1"/>
    <xf numFmtId="165" fontId="0" fillId="0" borderId="67" xfId="13" applyNumberFormat="1" applyFont="1" applyBorder="1"/>
    <xf numFmtId="165" fontId="0" fillId="0" borderId="68" xfId="13" applyNumberFormat="1" applyFont="1" applyBorder="1"/>
    <xf numFmtId="166" fontId="31" fillId="0" borderId="59" xfId="0" applyNumberFormat="1" applyFont="1" applyBorder="1"/>
    <xf numFmtId="10" fontId="16" fillId="0" borderId="61" xfId="4" applyNumberFormat="1" applyFont="1" applyBorder="1" applyAlignment="1">
      <alignment horizontal="center"/>
    </xf>
    <xf numFmtId="166" fontId="23" fillId="0" borderId="59" xfId="0" applyNumberFormat="1" applyFont="1" applyBorder="1"/>
    <xf numFmtId="166" fontId="30" fillId="11" borderId="61" xfId="2" applyNumberFormat="1" applyFont="1" applyFill="1" applyBorder="1"/>
    <xf numFmtId="0" fontId="24" fillId="0" borderId="57" xfId="0" applyFont="1" applyBorder="1"/>
    <xf numFmtId="165" fontId="12" fillId="0" borderId="57" xfId="1" applyNumberFormat="1" applyBorder="1"/>
    <xf numFmtId="165" fontId="0" fillId="0" borderId="69" xfId="13" applyNumberFormat="1" applyFont="1" applyBorder="1"/>
    <xf numFmtId="6" fontId="1" fillId="0" borderId="58" xfId="0" applyNumberFormat="1" applyFont="1" applyBorder="1"/>
    <xf numFmtId="165" fontId="1" fillId="0" borderId="60" xfId="0" applyNumberFormat="1" applyFont="1" applyBorder="1"/>
    <xf numFmtId="166" fontId="12" fillId="0" borderId="58" xfId="2" applyNumberFormat="1" applyBorder="1"/>
    <xf numFmtId="165" fontId="1" fillId="0" borderId="58" xfId="0" applyNumberFormat="1" applyFont="1" applyBorder="1"/>
    <xf numFmtId="0" fontId="20" fillId="5" borderId="63" xfId="0" applyFont="1" applyFill="1" applyBorder="1"/>
    <xf numFmtId="0" fontId="21" fillId="5" borderId="58" xfId="0" applyFont="1" applyFill="1" applyBorder="1"/>
    <xf numFmtId="0" fontId="0" fillId="5" borderId="62" xfId="0" applyFill="1" applyBorder="1"/>
    <xf numFmtId="0" fontId="57" fillId="19" borderId="63" xfId="32" applyFont="1" applyBorder="1" applyAlignment="1">
      <alignment vertical="center"/>
    </xf>
    <xf numFmtId="0" fontId="10" fillId="19" borderId="58" xfId="32" applyBorder="1"/>
    <xf numFmtId="0" fontId="10" fillId="19" borderId="62" xfId="32" applyBorder="1"/>
    <xf numFmtId="0" fontId="0" fillId="0" borderId="63" xfId="0" applyBorder="1"/>
    <xf numFmtId="0" fontId="0" fillId="0" borderId="58" xfId="0" applyBorder="1"/>
    <xf numFmtId="166" fontId="16" fillId="0" borderId="62" xfId="0" applyNumberFormat="1" applyFont="1" applyBorder="1"/>
    <xf numFmtId="0" fontId="0" fillId="0" borderId="60" xfId="0" applyBorder="1"/>
    <xf numFmtId="166" fontId="1" fillId="0" borderId="61" xfId="0" applyNumberFormat="1" applyFont="1" applyBorder="1"/>
    <xf numFmtId="0" fontId="1" fillId="0" borderId="60" xfId="0" applyFont="1" applyBorder="1"/>
    <xf numFmtId="0" fontId="20" fillId="5" borderId="59" xfId="0" applyFont="1" applyFill="1" applyBorder="1"/>
    <xf numFmtId="0" fontId="0" fillId="5" borderId="60" xfId="0" applyFill="1" applyBorder="1"/>
    <xf numFmtId="0" fontId="0" fillId="5" borderId="61" xfId="0" applyFill="1" applyBorder="1"/>
    <xf numFmtId="0" fontId="14" fillId="0" borderId="70" xfId="0" applyFont="1" applyBorder="1" applyAlignment="1">
      <alignment horizontal="center"/>
    </xf>
    <xf numFmtId="0" fontId="14" fillId="0" borderId="70" xfId="0" applyFont="1" applyBorder="1"/>
    <xf numFmtId="0" fontId="0" fillId="0" borderId="70" xfId="0" applyBorder="1"/>
    <xf numFmtId="44" fontId="0" fillId="0" borderId="70" xfId="2" applyFont="1" applyBorder="1"/>
    <xf numFmtId="6" fontId="0" fillId="0" borderId="70" xfId="2" applyNumberFormat="1" applyFont="1" applyBorder="1"/>
    <xf numFmtId="0" fontId="1" fillId="0" borderId="63" xfId="0" applyFont="1" applyBorder="1" applyAlignment="1">
      <alignment horizontal="right"/>
    </xf>
    <xf numFmtId="0" fontId="0" fillId="0" borderId="58" xfId="0" applyBorder="1" applyAlignment="1">
      <alignment horizontal="center"/>
    </xf>
    <xf numFmtId="8" fontId="0" fillId="0" borderId="58" xfId="0" applyNumberFormat="1" applyBorder="1" applyAlignment="1">
      <alignment horizontal="center"/>
    </xf>
    <xf numFmtId="6" fontId="0" fillId="0" borderId="58" xfId="0" applyNumberFormat="1" applyBorder="1"/>
    <xf numFmtId="2" fontId="0" fillId="0" borderId="62" xfId="0" applyNumberFormat="1" applyBorder="1" applyAlignment="1">
      <alignment horizontal="center"/>
    </xf>
    <xf numFmtId="4" fontId="0" fillId="0" borderId="62" xfId="0" applyNumberFormat="1" applyBorder="1" applyAlignment="1">
      <alignment horizontal="center"/>
    </xf>
    <xf numFmtId="0" fontId="1" fillId="0" borderId="59" xfId="0" applyFont="1" applyBorder="1" applyAlignment="1">
      <alignment horizontal="right" indent="1"/>
    </xf>
    <xf numFmtId="167" fontId="0" fillId="0" borderId="70" xfId="4" applyNumberFormat="1" applyFont="1" applyBorder="1"/>
    <xf numFmtId="44" fontId="0" fillId="0" borderId="70" xfId="0" applyNumberFormat="1" applyBorder="1"/>
    <xf numFmtId="0" fontId="1" fillId="0" borderId="59" xfId="0" applyFont="1" applyBorder="1"/>
    <xf numFmtId="0" fontId="0" fillId="0" borderId="60" xfId="0" applyBorder="1" applyAlignment="1">
      <alignment horizontal="center"/>
    </xf>
    <xf numFmtId="8" fontId="0" fillId="0" borderId="60" xfId="0" applyNumberFormat="1" applyBorder="1" applyAlignment="1">
      <alignment horizontal="center"/>
    </xf>
    <xf numFmtId="6" fontId="0" fillId="0" borderId="60" xfId="0" applyNumberFormat="1" applyBorder="1"/>
    <xf numFmtId="3" fontId="0" fillId="0" borderId="60" xfId="0" applyNumberFormat="1" applyBorder="1" applyAlignment="1">
      <alignment horizontal="center"/>
    </xf>
    <xf numFmtId="4" fontId="0" fillId="0" borderId="61" xfId="0" applyNumberFormat="1" applyBorder="1" applyAlignment="1">
      <alignment horizontal="center"/>
    </xf>
    <xf numFmtId="0" fontId="14" fillId="0" borderId="59" xfId="0" applyFont="1" applyBorder="1" applyAlignment="1">
      <alignment horizontal="right"/>
    </xf>
    <xf numFmtId="167" fontId="14" fillId="0" borderId="60" xfId="4" applyNumberFormat="1" applyFont="1" applyBorder="1"/>
    <xf numFmtId="44" fontId="14" fillId="0" borderId="70" xfId="2" applyFont="1" applyBorder="1"/>
    <xf numFmtId="0" fontId="20" fillId="5" borderId="58" xfId="0" applyFont="1" applyFill="1" applyBorder="1"/>
    <xf numFmtId="166" fontId="20" fillId="5" borderId="58" xfId="2" applyNumberFormat="1" applyFont="1" applyFill="1" applyBorder="1"/>
    <xf numFmtId="0" fontId="20" fillId="0" borderId="63" xfId="0" applyFont="1" applyBorder="1"/>
    <xf numFmtId="0" fontId="21" fillId="0" borderId="58" xfId="0" applyFont="1" applyBorder="1"/>
    <xf numFmtId="0" fontId="20" fillId="0" borderId="58" xfId="0" applyFont="1" applyBorder="1"/>
    <xf numFmtId="166" fontId="20" fillId="0" borderId="58" xfId="2" applyNumberFormat="1" applyFont="1" applyBorder="1"/>
    <xf numFmtId="0" fontId="14" fillId="0" borderId="59" xfId="0" applyFont="1" applyBorder="1"/>
    <xf numFmtId="0" fontId="14" fillId="0" borderId="60" xfId="0" applyFont="1" applyBorder="1" applyAlignment="1">
      <alignment horizontal="right"/>
    </xf>
    <xf numFmtId="0" fontId="14" fillId="0" borderId="61" xfId="0" applyFont="1" applyBorder="1" applyAlignment="1">
      <alignment horizontal="right"/>
    </xf>
    <xf numFmtId="0" fontId="0" fillId="0" borderId="65" xfId="0" applyBorder="1"/>
    <xf numFmtId="0" fontId="14" fillId="0" borderId="63" xfId="0" applyFont="1" applyBorder="1" applyAlignment="1">
      <alignment horizontal="right"/>
    </xf>
    <xf numFmtId="0" fontId="1" fillId="0" borderId="58" xfId="0" applyFont="1" applyBorder="1" applyAlignment="1">
      <alignment horizontal="right"/>
    </xf>
    <xf numFmtId="166" fontId="0" fillId="0" borderId="65" xfId="0" applyNumberFormat="1" applyBorder="1"/>
    <xf numFmtId="0" fontId="14" fillId="0" borderId="58" xfId="0" applyFont="1" applyBorder="1"/>
    <xf numFmtId="166" fontId="0" fillId="0" borderId="62" xfId="0" applyNumberFormat="1" applyBorder="1"/>
    <xf numFmtId="0" fontId="1" fillId="0" borderId="58" xfId="0" applyFont="1" applyBorder="1"/>
    <xf numFmtId="8" fontId="0" fillId="0" borderId="58" xfId="0" applyNumberFormat="1" applyBorder="1"/>
    <xf numFmtId="0" fontId="20" fillId="17" borderId="58" xfId="10" applyFont="1" applyFill="1" applyBorder="1"/>
    <xf numFmtId="0" fontId="20" fillId="17" borderId="58" xfId="10" applyFont="1" applyFill="1" applyBorder="1" applyAlignment="1">
      <alignment horizontal="center"/>
    </xf>
    <xf numFmtId="0" fontId="20" fillId="17" borderId="62" xfId="10" applyFont="1" applyFill="1" applyBorder="1" applyAlignment="1">
      <alignment horizontal="center"/>
    </xf>
    <xf numFmtId="0" fontId="14" fillId="0" borderId="60" xfId="46" applyFont="1" applyBorder="1" applyAlignment="1">
      <alignment horizontal="left"/>
    </xf>
    <xf numFmtId="165" fontId="55" fillId="0" borderId="60" xfId="49" applyNumberFormat="1" applyFont="1" applyFill="1" applyBorder="1"/>
    <xf numFmtId="0" fontId="14" fillId="0" borderId="58" xfId="46" applyFont="1" applyBorder="1" applyAlignment="1">
      <alignment horizontal="left"/>
    </xf>
    <xf numFmtId="165" fontId="14" fillId="0" borderId="58" xfId="49" applyNumberFormat="1" applyFont="1" applyFill="1" applyBorder="1"/>
    <xf numFmtId="0" fontId="14" fillId="0" borderId="57" xfId="46" applyFont="1" applyBorder="1"/>
    <xf numFmtId="165" fontId="55" fillId="0" borderId="57" xfId="49" applyNumberFormat="1" applyFont="1" applyFill="1" applyBorder="1"/>
    <xf numFmtId="0" fontId="14" fillId="0" borderId="57" xfId="46" applyFont="1" applyBorder="1" applyAlignment="1">
      <alignment horizontal="left"/>
    </xf>
    <xf numFmtId="165" fontId="14" fillId="0" borderId="57" xfId="49" applyNumberFormat="1" applyFont="1" applyFill="1" applyBorder="1"/>
    <xf numFmtId="0" fontId="11" fillId="4" borderId="70" xfId="28" applyFill="1" applyBorder="1"/>
    <xf numFmtId="0" fontId="11" fillId="10" borderId="70" xfId="28" applyFill="1" applyBorder="1" applyAlignment="1">
      <alignment horizontal="center"/>
    </xf>
    <xf numFmtId="6" fontId="11" fillId="4" borderId="70" xfId="28" applyNumberFormat="1" applyFill="1" applyBorder="1"/>
    <xf numFmtId="0" fontId="2" fillId="4" borderId="70" xfId="28" applyFont="1" applyFill="1" applyBorder="1"/>
    <xf numFmtId="0" fontId="11" fillId="0" borderId="70" xfId="28" applyBorder="1"/>
    <xf numFmtId="6" fontId="28" fillId="0" borderId="58" xfId="26" applyNumberFormat="1" applyFont="1" applyFill="1" applyBorder="1" applyAlignment="1">
      <alignment horizontal="right"/>
    </xf>
    <xf numFmtId="6" fontId="28" fillId="0" borderId="60" xfId="26" applyNumberFormat="1" applyFont="1" applyFill="1" applyBorder="1" applyAlignment="1">
      <alignment horizontal="right"/>
    </xf>
    <xf numFmtId="6" fontId="57" fillId="0" borderId="60" xfId="28" applyNumberFormat="1" applyFont="1" applyBorder="1"/>
    <xf numFmtId="8" fontId="28" fillId="29" borderId="60" xfId="26" applyNumberFormat="1" applyFont="1" applyFill="1" applyBorder="1" applyAlignment="1">
      <alignment horizontal="right"/>
    </xf>
    <xf numFmtId="6" fontId="11" fillId="0" borderId="57" xfId="28" applyNumberFormat="1" applyBorder="1"/>
    <xf numFmtId="8" fontId="11" fillId="0" borderId="58" xfId="28" applyNumberFormat="1" applyBorder="1"/>
    <xf numFmtId="9" fontId="18" fillId="0" borderId="10" xfId="0" applyNumberFormat="1" applyFont="1" applyBorder="1" applyAlignment="1">
      <alignment horizontal="center" vertical="center" wrapText="1"/>
    </xf>
    <xf numFmtId="9" fontId="18" fillId="0" borderId="4" xfId="0" applyNumberFormat="1" applyFont="1" applyBorder="1" applyAlignment="1">
      <alignment horizontal="center" vertical="center" wrapText="1"/>
    </xf>
    <xf numFmtId="0" fontId="28" fillId="0" borderId="0" xfId="0" applyFont="1" applyAlignment="1">
      <alignment horizontal="left" vertical="top" wrapText="1"/>
    </xf>
    <xf numFmtId="0" fontId="18" fillId="0" borderId="0" xfId="0" applyFont="1" applyAlignment="1">
      <alignment horizontal="left" vertical="top" wrapText="1"/>
    </xf>
    <xf numFmtId="0" fontId="0" fillId="0" borderId="0" xfId="0" applyAlignment="1">
      <alignment vertical="top" wrapText="1"/>
    </xf>
    <xf numFmtId="0" fontId="33" fillId="0" borderId="0" xfId="10" applyFont="1" applyAlignment="1">
      <alignment horizontal="left" vertical="top" wrapText="1" indent="1"/>
    </xf>
    <xf numFmtId="0" fontId="33" fillId="0" borderId="17" xfId="10" applyFont="1" applyBorder="1" applyAlignment="1">
      <alignment horizontal="left" vertical="top" wrapText="1" indent="1"/>
    </xf>
    <xf numFmtId="0" fontId="53" fillId="20" borderId="0" xfId="33" applyFont="1" applyAlignment="1">
      <alignment horizontal="center"/>
    </xf>
    <xf numFmtId="0" fontId="104" fillId="0" borderId="0" xfId="42" applyAlignment="1">
      <alignment horizontal="center"/>
    </xf>
    <xf numFmtId="0" fontId="20" fillId="5" borderId="0" xfId="0" applyFont="1" applyFill="1" applyAlignment="1">
      <alignment horizontal="center"/>
    </xf>
    <xf numFmtId="0" fontId="14" fillId="0" borderId="0" xfId="0" applyFont="1" applyAlignment="1">
      <alignment horizontal="center"/>
    </xf>
    <xf numFmtId="0" fontId="53" fillId="13" borderId="0" xfId="25" applyFont="1" applyAlignment="1">
      <alignment horizontal="center"/>
    </xf>
    <xf numFmtId="0" fontId="20" fillId="5" borderId="63" xfId="0" applyFont="1" applyFill="1" applyBorder="1" applyAlignment="1">
      <alignment horizontal="center"/>
    </xf>
    <xf numFmtId="0" fontId="20" fillId="5" borderId="58" xfId="0" applyFont="1" applyFill="1" applyBorder="1" applyAlignment="1">
      <alignment horizontal="center"/>
    </xf>
    <xf numFmtId="0" fontId="20" fillId="5" borderId="62" xfId="0" applyFont="1" applyFill="1" applyBorder="1" applyAlignment="1">
      <alignment horizontal="center"/>
    </xf>
    <xf numFmtId="0" fontId="119" fillId="32" borderId="45" xfId="0" applyFont="1" applyFill="1" applyBorder="1" applyAlignment="1">
      <alignment horizontal="left" vertical="center" wrapText="1"/>
    </xf>
    <xf numFmtId="0" fontId="119" fillId="32" borderId="0" xfId="0" applyFont="1" applyFill="1" applyAlignment="1">
      <alignment horizontal="left" vertical="center" wrapText="1"/>
    </xf>
    <xf numFmtId="0" fontId="119" fillId="32" borderId="46" xfId="0" applyFont="1" applyFill="1" applyBorder="1" applyAlignment="1">
      <alignment horizontal="left" vertical="center" wrapText="1"/>
    </xf>
    <xf numFmtId="0" fontId="104" fillId="32" borderId="53" xfId="42" applyFill="1" applyBorder="1" applyAlignment="1">
      <alignment horizontal="center" vertical="center" wrapText="1"/>
    </xf>
    <xf numFmtId="0" fontId="104" fillId="32" borderId="54" xfId="42" applyFill="1" applyBorder="1" applyAlignment="1">
      <alignment horizontal="center" vertical="center" wrapText="1"/>
    </xf>
    <xf numFmtId="0" fontId="104" fillId="32" borderId="55" xfId="42" applyFill="1" applyBorder="1" applyAlignment="1">
      <alignment horizontal="center" vertical="center" wrapText="1"/>
    </xf>
    <xf numFmtId="0" fontId="53" fillId="18" borderId="0" xfId="26" applyFont="1" applyFill="1" applyAlignment="1">
      <alignment horizontal="center"/>
    </xf>
    <xf numFmtId="0" fontId="115" fillId="31" borderId="40" xfId="0" applyFont="1" applyFill="1" applyBorder="1" applyAlignment="1">
      <alignment horizontal="center" vertical="center" wrapText="1"/>
    </xf>
    <xf numFmtId="0" fontId="115" fillId="31" borderId="41" xfId="0" applyFont="1" applyFill="1" applyBorder="1" applyAlignment="1">
      <alignment horizontal="center" vertical="center" wrapText="1"/>
    </xf>
    <xf numFmtId="0" fontId="119" fillId="32" borderId="50" xfId="0" applyFont="1" applyFill="1" applyBorder="1" applyAlignment="1">
      <alignment horizontal="left" vertical="center" wrapText="1"/>
    </xf>
    <xf numFmtId="0" fontId="119" fillId="32" borderId="51" xfId="0" applyFont="1" applyFill="1" applyBorder="1" applyAlignment="1">
      <alignment horizontal="left" vertical="center" wrapText="1"/>
    </xf>
    <xf numFmtId="0" fontId="119" fillId="32" borderId="52" xfId="0" applyFont="1" applyFill="1" applyBorder="1" applyAlignment="1">
      <alignment horizontal="left" vertical="center" wrapText="1"/>
    </xf>
    <xf numFmtId="49" fontId="19" fillId="18" borderId="0" xfId="23" applyNumberFormat="1" applyFont="1" applyFill="1" applyAlignment="1">
      <alignment horizontal="center" vertical="top" wrapText="1"/>
    </xf>
    <xf numFmtId="0" fontId="53" fillId="25" borderId="0" xfId="41" applyFont="1" applyFill="1" applyAlignment="1">
      <alignment horizontal="center"/>
    </xf>
    <xf numFmtId="0" fontId="53" fillId="24" borderId="0" xfId="41" applyFont="1" applyFill="1" applyAlignment="1">
      <alignment horizontal="center"/>
    </xf>
    <xf numFmtId="0" fontId="53" fillId="28" borderId="0" xfId="41" applyFont="1" applyFill="1" applyAlignment="1">
      <alignment horizontal="center"/>
    </xf>
    <xf numFmtId="0" fontId="20" fillId="17" borderId="58" xfId="10" applyFont="1" applyFill="1" applyBorder="1" applyAlignment="1">
      <alignment horizontal="center"/>
    </xf>
    <xf numFmtId="0" fontId="2" fillId="19" borderId="0" xfId="32" applyFont="1" applyAlignment="1">
      <alignment horizontal="center"/>
    </xf>
    <xf numFmtId="0" fontId="10" fillId="19" borderId="0" xfId="32" applyAlignment="1">
      <alignment horizontal="center"/>
    </xf>
    <xf numFmtId="0" fontId="53" fillId="14" borderId="0" xfId="26" applyFont="1" applyAlignment="1">
      <alignment horizontal="center"/>
    </xf>
    <xf numFmtId="0" fontId="20" fillId="17" borderId="63" xfId="10" applyFont="1" applyFill="1" applyBorder="1" applyAlignment="1">
      <alignment horizontal="center"/>
    </xf>
    <xf numFmtId="166" fontId="16" fillId="0" borderId="0" xfId="2" applyNumberFormat="1" applyFont="1" applyAlignment="1">
      <alignment horizontal="center"/>
    </xf>
    <xf numFmtId="0" fontId="20" fillId="17" borderId="0" xfId="10" applyFont="1" applyFill="1" applyAlignment="1">
      <alignment horizontal="center"/>
    </xf>
    <xf numFmtId="10" fontId="14" fillId="0" borderId="1" xfId="4" applyNumberFormat="1" applyFont="1" applyBorder="1" applyAlignment="1">
      <alignment horizontal="center"/>
    </xf>
    <xf numFmtId="0" fontId="20" fillId="17" borderId="12" xfId="10" applyFont="1" applyFill="1" applyBorder="1" applyAlignment="1">
      <alignment horizontal="center"/>
    </xf>
    <xf numFmtId="166" fontId="12" fillId="0" borderId="13" xfId="2" applyNumberFormat="1" applyBorder="1" applyAlignment="1">
      <alignment horizontal="center"/>
    </xf>
    <xf numFmtId="166" fontId="12" fillId="0" borderId="1" xfId="2" applyNumberFormat="1" applyBorder="1" applyAlignment="1">
      <alignment horizontal="center"/>
    </xf>
    <xf numFmtId="0" fontId="20" fillId="5" borderId="0" xfId="10" applyFont="1" applyFill="1" applyAlignment="1">
      <alignment horizontal="center"/>
    </xf>
    <xf numFmtId="9" fontId="12" fillId="0" borderId="1" xfId="4" applyBorder="1" applyAlignment="1">
      <alignment horizontal="center"/>
    </xf>
    <xf numFmtId="0" fontId="51" fillId="0" borderId="0" xfId="24" applyAlignment="1">
      <alignment horizontal="center"/>
    </xf>
    <xf numFmtId="0" fontId="57" fillId="15" borderId="0" xfId="27" applyFont="1" applyAlignment="1">
      <alignment horizontal="center"/>
    </xf>
    <xf numFmtId="0" fontId="53" fillId="14" borderId="14" xfId="26" applyFont="1" applyBorder="1" applyAlignment="1">
      <alignment horizontal="center"/>
    </xf>
    <xf numFmtId="0" fontId="53" fillId="14" borderId="15" xfId="26" applyFont="1" applyBorder="1" applyAlignment="1">
      <alignment horizontal="center"/>
    </xf>
    <xf numFmtId="0" fontId="53" fillId="14" borderId="16" xfId="26" applyFont="1" applyBorder="1" applyAlignment="1">
      <alignment horizontal="center"/>
    </xf>
    <xf numFmtId="0" fontId="57" fillId="0" borderId="0" xfId="28" applyFont="1" applyAlignment="1">
      <alignment horizontal="center" wrapText="1"/>
    </xf>
    <xf numFmtId="0" fontId="57" fillId="0" borderId="19" xfId="28" applyFont="1" applyBorder="1" applyAlignment="1">
      <alignment horizontal="center" wrapText="1"/>
    </xf>
    <xf numFmtId="0" fontId="54" fillId="14" borderId="0" xfId="26" applyAlignment="1">
      <alignment horizontal="center"/>
    </xf>
    <xf numFmtId="0" fontId="59" fillId="11" borderId="26" xfId="36" applyFont="1" applyFill="1" applyBorder="1" applyAlignment="1">
      <alignment horizontal="left"/>
    </xf>
    <xf numFmtId="0" fontId="59" fillId="11" borderId="0" xfId="36" applyFont="1" applyFill="1" applyAlignment="1">
      <alignment horizontal="left"/>
    </xf>
    <xf numFmtId="44" fontId="93" fillId="11" borderId="0" xfId="38" applyFont="1" applyFill="1" applyAlignment="1">
      <alignment horizontal="center"/>
    </xf>
    <xf numFmtId="0" fontId="57" fillId="11" borderId="0" xfId="36" applyFont="1" applyFill="1" applyAlignment="1">
      <alignment horizontal="center" wrapText="1"/>
    </xf>
    <xf numFmtId="0" fontId="57" fillId="11" borderId="25" xfId="36" applyFont="1" applyFill="1" applyBorder="1" applyAlignment="1">
      <alignment horizontal="center" wrapText="1"/>
    </xf>
    <xf numFmtId="0" fontId="57" fillId="11" borderId="1" xfId="36" applyFont="1" applyFill="1" applyBorder="1" applyAlignment="1">
      <alignment horizontal="center" wrapText="1"/>
    </xf>
    <xf numFmtId="0" fontId="57" fillId="11" borderId="27" xfId="36" applyFont="1" applyFill="1" applyBorder="1" applyAlignment="1">
      <alignment horizontal="center" wrapText="1"/>
    </xf>
    <xf numFmtId="0" fontId="89" fillId="11" borderId="0" xfId="36" applyFont="1" applyFill="1" applyAlignment="1">
      <alignment horizontal="center"/>
    </xf>
    <xf numFmtId="0" fontId="59" fillId="11" borderId="71" xfId="36" applyFont="1" applyFill="1" applyBorder="1" applyAlignment="1">
      <alignment horizontal="left"/>
    </xf>
    <xf numFmtId="0" fontId="59" fillId="11" borderId="58" xfId="36" applyFont="1" applyFill="1" applyBorder="1" applyAlignment="1">
      <alignment horizontal="left"/>
    </xf>
  </cellXfs>
  <cellStyles count="52">
    <cellStyle name="20% - Accent1" xfId="32" builtinId="30"/>
    <cellStyle name="40% - Accent1" xfId="27" builtinId="31"/>
    <cellStyle name="40% - Accent3" xfId="35" builtinId="39"/>
    <cellStyle name="60% - Accent6" xfId="40" builtinId="52"/>
    <cellStyle name="Accent1" xfId="26" builtinId="29"/>
    <cellStyle name="Accent4" xfId="33" builtinId="41"/>
    <cellStyle name="Accent6" xfId="25" builtinId="49"/>
    <cellStyle name="Comma" xfId="1" builtinId="3"/>
    <cellStyle name="Comma 2" xfId="6" xr:uid="{00000000-0005-0000-0000-000001000000}"/>
    <cellStyle name="Comma 2 2" xfId="11" xr:uid="{00000000-0005-0000-0000-000002000000}"/>
    <cellStyle name="Comma 3" xfId="13" xr:uid="{00000000-0005-0000-0000-000003000000}"/>
    <cellStyle name="Comma 4" xfId="23" xr:uid="{00000000-0005-0000-0000-000004000000}"/>
    <cellStyle name="Comma 5" xfId="37" xr:uid="{97361930-60FB-49F0-9BD8-1D66122D61C6}"/>
    <cellStyle name="Comma 6" xfId="44" xr:uid="{9E888740-3CB9-4DDA-8102-76867E8B34C4}"/>
    <cellStyle name="Comma 7" xfId="49" xr:uid="{D8B2E331-A891-41A8-87EC-FBA475D0CD27}"/>
    <cellStyle name="Comma 8" xfId="51" xr:uid="{DA454253-AB47-4554-9E37-5BDC40C38229}"/>
    <cellStyle name="Currency" xfId="2" builtinId="4"/>
    <cellStyle name="Currency 2" xfId="3" xr:uid="{00000000-0005-0000-0000-000006000000}"/>
    <cellStyle name="Currency 2 2" xfId="38" xr:uid="{3BCD26E9-7D73-4F6A-B61E-B2C003D2556F}"/>
    <cellStyle name="Currency 3" xfId="14" xr:uid="{00000000-0005-0000-0000-000007000000}"/>
    <cellStyle name="Currency 4" xfId="31" xr:uid="{B1FD28A5-5DE5-4474-B33D-8FEFD364E554}"/>
    <cellStyle name="Currency 5" xfId="50" xr:uid="{F8C76691-3867-4048-A48F-8A3D4CA30163}"/>
    <cellStyle name="Hyperlink" xfId="24" builtinId="8"/>
    <cellStyle name="Hyperlink 2" xfId="42" xr:uid="{16D83230-AE81-4F9E-8C9D-299FC2DDBA8E}"/>
    <cellStyle name="Normal" xfId="0" builtinId="0"/>
    <cellStyle name="Normal 10" xfId="46" xr:uid="{4E149AB4-40D3-4BCA-8320-5F0166E09D6E}"/>
    <cellStyle name="Normal 2" xfId="5" xr:uid="{00000000-0005-0000-0000-000009000000}"/>
    <cellStyle name="Normal 2 2" xfId="10" xr:uid="{00000000-0005-0000-0000-00000A000000}"/>
    <cellStyle name="Normal 2 3" xfId="30" xr:uid="{5F3C42FC-E6D6-4561-9B51-07E2F832B6CA}"/>
    <cellStyle name="Normal 2 4" xfId="47" xr:uid="{11838949-5C9A-40B8-AAAD-6BF36D160924}"/>
    <cellStyle name="Normal 3" xfId="9" xr:uid="{00000000-0005-0000-0000-00000B000000}"/>
    <cellStyle name="Normal 3 2" xfId="43" xr:uid="{7E3C9D21-8FB7-48CC-A60D-9DA665E92D5F}"/>
    <cellStyle name="Normal 4" xfId="8" xr:uid="{00000000-0005-0000-0000-00000C000000}"/>
    <cellStyle name="Normal 5" xfId="22" xr:uid="{00000000-0005-0000-0000-00000D000000}"/>
    <cellStyle name="Normal 6" xfId="28" xr:uid="{CFECB08B-76BB-41DA-B4B4-9E9393A1477D}"/>
    <cellStyle name="Normal 7" xfId="29" xr:uid="{8161AA81-848D-49EB-8484-770534499EE6}"/>
    <cellStyle name="Normal 8" xfId="34" xr:uid="{A1542CFA-B2CB-4538-89E1-E270706DB8A7}"/>
    <cellStyle name="Normal 8 2" xfId="36" xr:uid="{07F2B53D-04FD-44DF-AB06-4FD2E8055FCD}"/>
    <cellStyle name="Normal 9" xfId="41" xr:uid="{668FC191-D656-4A9D-8D6E-7C56D5FFC84A}"/>
    <cellStyle name="Percent" xfId="4" builtinId="5"/>
    <cellStyle name="Percent 2" xfId="7" xr:uid="{00000000-0005-0000-0000-00000F000000}"/>
    <cellStyle name="Percent 2 2" xfId="12" xr:uid="{00000000-0005-0000-0000-000010000000}"/>
    <cellStyle name="Percent 2 2 2" xfId="48" xr:uid="{0D135B84-358C-436A-BC0B-68EE6726DB68}"/>
    <cellStyle name="Percent 3" xfId="15" xr:uid="{00000000-0005-0000-0000-000011000000}"/>
    <cellStyle name="Percent 4" xfId="39" xr:uid="{79C5FAB2-7FCE-4E04-A52E-EE1D03F3AEDF}"/>
    <cellStyle name="Percent 5" xfId="45" xr:uid="{F0A42C10-063D-4709-ADB8-157D02BA9AFC}"/>
    <cellStyle name="Style 1163" xfId="16" xr:uid="{00000000-0005-0000-0000-000012000000}"/>
    <cellStyle name="Style 1167" xfId="17" xr:uid="{00000000-0005-0000-0000-000013000000}"/>
    <cellStyle name="Style 1301" xfId="18" xr:uid="{00000000-0005-0000-0000-000014000000}"/>
    <cellStyle name="Style 1305" xfId="19" xr:uid="{00000000-0005-0000-0000-000015000000}"/>
    <cellStyle name="Style 1541" xfId="20" xr:uid="{00000000-0005-0000-0000-000016000000}"/>
    <cellStyle name="Style 1545" xfId="21" xr:uid="{00000000-0005-0000-0000-000017000000}"/>
  </cellStyles>
  <dxfs count="36">
    <dxf>
      <font>
        <color rgb="FF0000FF"/>
      </font>
      <fill>
        <patternFill>
          <bgColor rgb="FFFFFF00"/>
        </patternFill>
      </fill>
    </dxf>
    <dxf>
      <font>
        <b/>
        <i/>
        <color theme="0"/>
      </font>
      <fill>
        <patternFill>
          <bgColor rgb="FFFF0000"/>
        </patternFill>
      </fill>
    </dxf>
    <dxf>
      <font>
        <color theme="0"/>
      </font>
      <numFmt numFmtId="0" formatCode="General"/>
      <fill>
        <patternFill patternType="none">
          <bgColor auto="1"/>
        </patternFill>
      </fill>
    </dxf>
    <dxf>
      <numFmt numFmtId="179" formatCode="0.00&quot;X&quot;"/>
    </dxf>
    <dxf>
      <numFmt numFmtId="197" formatCode="&quot; up to &quot;0.00&quot;X EM to LP&quot;"/>
    </dxf>
    <dxf>
      <numFmt numFmtId="197" formatCode="&quot; up to &quot;0.00&quot;X EM to LP&quot;"/>
    </dxf>
    <dxf>
      <numFmt numFmtId="197" formatCode="&quot; up to &quot;0.00&quot;X EM to LP&quot;"/>
    </dxf>
    <dxf>
      <numFmt numFmtId="197" formatCode="&quot; up to &quot;0.00&quot;X EM to LP&quot;"/>
    </dxf>
    <dxf>
      <numFmt numFmtId="197" formatCode="&quot; up to &quot;0.00&quot;X EM to LP&quot;"/>
    </dxf>
    <dxf>
      <numFmt numFmtId="197" formatCode="&quot; up to &quot;0.00&quot;X EM to LP&quot;"/>
    </dxf>
    <dxf>
      <numFmt numFmtId="197" formatCode="&quot; up to &quot;0.00&quot;X EM to LP&quot;"/>
    </dxf>
    <dxf>
      <numFmt numFmtId="197" formatCode="&quot; up to &quot;0.00&quot;X EM to LP&quot;"/>
    </dxf>
    <dxf>
      <numFmt numFmtId="197" formatCode="&quot; up to &quot;0.00&quot;X EM to LP&quot;"/>
    </dxf>
    <dxf>
      <numFmt numFmtId="197" formatCode="&quot; up to &quot;0.00&quot;X EM to LP&quot;"/>
    </dxf>
    <dxf>
      <numFmt numFmtId="197" formatCode="&quot; up to &quot;0.00&quot;X EM to LP&quot;"/>
    </dxf>
    <dxf>
      <numFmt numFmtId="197" formatCode="&quot; up to &quot;0.00&quot;X EM to LP&quot;"/>
    </dxf>
    <dxf>
      <font>
        <color theme="0"/>
      </font>
      <fill>
        <patternFill patternType="none">
          <bgColor auto="1"/>
        </patternFill>
      </fill>
    </dxf>
    <dxf>
      <numFmt numFmtId="197" formatCode="&quot; up to &quot;0.00&quot;X EM to LP&quot;"/>
    </dxf>
    <dxf>
      <font>
        <color theme="0"/>
      </font>
      <numFmt numFmtId="0" formatCode="General"/>
      <fill>
        <patternFill patternType="none">
          <bgColor auto="1"/>
        </patternFill>
      </fill>
    </dxf>
    <dxf>
      <font>
        <color theme="9" tint="-0.24994659260841701"/>
      </font>
    </dxf>
    <dxf>
      <font>
        <color rgb="FF9C0006"/>
      </font>
      <fill>
        <patternFill>
          <bgColor rgb="FFFFC7CE"/>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theme="3" tint="0.59996337778862885"/>
        </patternFill>
      </fill>
      <border>
        <left style="thin">
          <color auto="1"/>
        </left>
        <right style="thin">
          <color auto="1"/>
        </right>
        <top style="thin">
          <color auto="1"/>
        </top>
        <bottom style="thin">
          <color auto="1"/>
        </bottom>
      </border>
    </dxf>
    <dxf>
      <fill>
        <patternFill>
          <bgColor theme="3" tint="0.59996337778862885"/>
        </patternFill>
      </fill>
      <border>
        <left style="thin">
          <color auto="1"/>
        </left>
        <right style="thin">
          <color auto="1"/>
        </right>
        <top style="thin">
          <color auto="1"/>
        </top>
        <bottom style="thin">
          <color auto="1"/>
        </bottom>
      </border>
    </dxf>
    <dxf>
      <font>
        <color rgb="FF0000FF"/>
      </font>
    </dxf>
    <dxf>
      <font>
        <color rgb="FF0000FF"/>
      </font>
    </dxf>
    <dxf>
      <font>
        <color rgb="FF0000FF"/>
      </font>
    </dxf>
    <dxf>
      <font>
        <color rgb="FF0000FF"/>
      </font>
    </dxf>
    <dxf>
      <font>
        <color rgb="FF0000FF"/>
      </font>
    </dxf>
  </dxfs>
  <tableStyles count="0" defaultTableStyle="TableStyleMedium2" defaultPivotStyle="PivotStyleLight16"/>
  <colors>
    <mruColors>
      <color rgb="FF0000FF"/>
      <color rgb="FFFF9E42"/>
      <color rgb="FF1245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hartsheet" Target="chartsheets/sheet1.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microsoft.com/office/2017/10/relationships/person" Target="persons/person.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Historical</a:t>
            </a:r>
            <a:r>
              <a:rPr lang="en-US" baseline="0"/>
              <a:t> / Future Comparison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v>Income</c:v>
          </c:tx>
          <c:spPr>
            <a:solidFill>
              <a:schemeClr val="accent2"/>
            </a:solidFill>
            <a:ln>
              <a:noFill/>
            </a:ln>
            <a:effectLst/>
          </c:spPr>
          <c:invertIfNegative val="0"/>
          <c:cat>
            <c:strRef>
              <c:f>'IE SUMMARY'!$B$110:$H$110</c:f>
              <c:strCache>
                <c:ptCount val="7"/>
                <c:pt idx="0">
                  <c:v>2019</c:v>
                </c:pt>
                <c:pt idx="1">
                  <c:v>2020</c:v>
                </c:pt>
                <c:pt idx="2">
                  <c:v>2021</c:v>
                </c:pt>
                <c:pt idx="3">
                  <c:v>Trailing 12</c:v>
                </c:pt>
                <c:pt idx="4">
                  <c:v>2022 Ann.</c:v>
                </c:pt>
                <c:pt idx="5">
                  <c:v>Broker</c:v>
                </c:pt>
                <c:pt idx="6">
                  <c:v>BVG Yr 1</c:v>
                </c:pt>
              </c:strCache>
            </c:strRef>
          </c:cat>
          <c:val>
            <c:numRef>
              <c:f>('IE SUMMARY'!$B$26:$G$26,'IE SUMMARY'!$H$26)</c:f>
              <c:numCache>
                <c:formatCode>"$"#,##0_);[Red]\("$"#,##0\)</c:formatCode>
                <c:ptCount val="7"/>
                <c:pt idx="0">
                  <c:v>0</c:v>
                </c:pt>
                <c:pt idx="1">
                  <c:v>0</c:v>
                </c:pt>
                <c:pt idx="2">
                  <c:v>0</c:v>
                </c:pt>
                <c:pt idx="3">
                  <c:v>0</c:v>
                </c:pt>
                <c:pt idx="4">
                  <c:v>0</c:v>
                </c:pt>
                <c:pt idx="5">
                  <c:v>0</c:v>
                </c:pt>
                <c:pt idx="6">
                  <c:v>454393.32</c:v>
                </c:pt>
              </c:numCache>
            </c:numRef>
          </c:val>
          <c:extLst>
            <c:ext xmlns:c16="http://schemas.microsoft.com/office/drawing/2014/chart" uri="{C3380CC4-5D6E-409C-BE32-E72D297353CC}">
              <c16:uniqueId val="{00000000-E7AA-441E-A5C0-0610D03FBD88}"/>
            </c:ext>
          </c:extLst>
        </c:ser>
        <c:ser>
          <c:idx val="2"/>
          <c:order val="1"/>
          <c:tx>
            <c:v>Expenses</c:v>
          </c:tx>
          <c:spPr>
            <a:solidFill>
              <a:schemeClr val="accent3"/>
            </a:solidFill>
            <a:ln>
              <a:noFill/>
            </a:ln>
            <a:effectLst/>
          </c:spPr>
          <c:invertIfNegative val="0"/>
          <c:cat>
            <c:strRef>
              <c:f>'IE SUMMARY'!$B$110:$H$110</c:f>
              <c:strCache>
                <c:ptCount val="7"/>
                <c:pt idx="0">
                  <c:v>2019</c:v>
                </c:pt>
                <c:pt idx="1">
                  <c:v>2020</c:v>
                </c:pt>
                <c:pt idx="2">
                  <c:v>2021</c:v>
                </c:pt>
                <c:pt idx="3">
                  <c:v>Trailing 12</c:v>
                </c:pt>
                <c:pt idx="4">
                  <c:v>2022 Ann.</c:v>
                </c:pt>
                <c:pt idx="5">
                  <c:v>Broker</c:v>
                </c:pt>
                <c:pt idx="6">
                  <c:v>BVG Yr 1</c:v>
                </c:pt>
              </c:strCache>
            </c:strRef>
          </c:cat>
          <c:val>
            <c:numRef>
              <c:f>('IE SUMMARY'!$B$56:$G$56,'IE SUMMARY'!$H$56)</c:f>
              <c:numCache>
                <c:formatCode>"$"#,##0_);[Red]\("$"#,##0\)</c:formatCode>
                <c:ptCount val="7"/>
                <c:pt idx="0">
                  <c:v>0</c:v>
                </c:pt>
                <c:pt idx="1">
                  <c:v>0</c:v>
                </c:pt>
                <c:pt idx="2">
                  <c:v>0</c:v>
                </c:pt>
                <c:pt idx="3">
                  <c:v>0</c:v>
                </c:pt>
                <c:pt idx="4">
                  <c:v>0</c:v>
                </c:pt>
                <c:pt idx="5">
                  <c:v>0</c:v>
                </c:pt>
                <c:pt idx="6">
                  <c:v>301756.31600000005</c:v>
                </c:pt>
              </c:numCache>
            </c:numRef>
          </c:val>
          <c:extLst>
            <c:ext xmlns:c16="http://schemas.microsoft.com/office/drawing/2014/chart" uri="{C3380CC4-5D6E-409C-BE32-E72D297353CC}">
              <c16:uniqueId val="{00000001-E7AA-441E-A5C0-0610D03FBD88}"/>
            </c:ext>
          </c:extLst>
        </c:ser>
        <c:ser>
          <c:idx val="0"/>
          <c:order val="2"/>
          <c:tx>
            <c:v>NOI</c:v>
          </c:tx>
          <c:spPr>
            <a:solidFill>
              <a:schemeClr val="accent1"/>
            </a:solidFill>
            <a:ln>
              <a:noFill/>
            </a:ln>
            <a:effectLst/>
          </c:spPr>
          <c:invertIfNegative val="0"/>
          <c:cat>
            <c:strRef>
              <c:f>'IE SUMMARY'!$B$110:$H$110</c:f>
              <c:strCache>
                <c:ptCount val="7"/>
                <c:pt idx="0">
                  <c:v>2019</c:v>
                </c:pt>
                <c:pt idx="1">
                  <c:v>2020</c:v>
                </c:pt>
                <c:pt idx="2">
                  <c:v>2021</c:v>
                </c:pt>
                <c:pt idx="3">
                  <c:v>Trailing 12</c:v>
                </c:pt>
                <c:pt idx="4">
                  <c:v>2022 Ann.</c:v>
                </c:pt>
                <c:pt idx="5">
                  <c:v>Broker</c:v>
                </c:pt>
                <c:pt idx="6">
                  <c:v>BVG Yr 1</c:v>
                </c:pt>
              </c:strCache>
            </c:strRef>
          </c:cat>
          <c:val>
            <c:numRef>
              <c:f>('IE SUMMARY'!$B$61:$G$61,'IE SUMMARY'!$H$61)</c:f>
              <c:numCache>
                <c:formatCode>"$"#,##0_);[Red]\("$"#,##0\)</c:formatCode>
                <c:ptCount val="7"/>
                <c:pt idx="0">
                  <c:v>0</c:v>
                </c:pt>
                <c:pt idx="1">
                  <c:v>0</c:v>
                </c:pt>
                <c:pt idx="2">
                  <c:v>0</c:v>
                </c:pt>
                <c:pt idx="3">
                  <c:v>0</c:v>
                </c:pt>
                <c:pt idx="4">
                  <c:v>0</c:v>
                </c:pt>
                <c:pt idx="5">
                  <c:v>0</c:v>
                </c:pt>
                <c:pt idx="6">
                  <c:v>152637.00399999996</c:v>
                </c:pt>
              </c:numCache>
            </c:numRef>
          </c:val>
          <c:extLst>
            <c:ext xmlns:c16="http://schemas.microsoft.com/office/drawing/2014/chart" uri="{C3380CC4-5D6E-409C-BE32-E72D297353CC}">
              <c16:uniqueId val="{00000002-E7AA-441E-A5C0-0610D03FBD88}"/>
            </c:ext>
          </c:extLst>
        </c:ser>
        <c:dLbls>
          <c:showLegendKey val="0"/>
          <c:showVal val="0"/>
          <c:showCatName val="0"/>
          <c:showSerName val="0"/>
          <c:showPercent val="0"/>
          <c:showBubbleSize val="0"/>
        </c:dLbls>
        <c:gapWidth val="150"/>
        <c:axId val="-68998656"/>
        <c:axId val="-69004096"/>
      </c:barChart>
      <c:catAx>
        <c:axId val="-68998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9004096"/>
        <c:crosses val="autoZero"/>
        <c:auto val="1"/>
        <c:lblAlgn val="ctr"/>
        <c:lblOffset val="100"/>
        <c:noMultiLvlLbl val="0"/>
      </c:catAx>
      <c:valAx>
        <c:axId val="-6900409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986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Historical Expense Comparison</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'IE SUMMARY'!$B$31</c:f>
              <c:strCache>
                <c:ptCount val="1"/>
                <c:pt idx="0">
                  <c:v>2019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Manager/Maint Salary Expense</c:v>
                </c:pt>
                <c:pt idx="1">
                  <c:v>Payroll Taxes</c:v>
                </c:pt>
                <c:pt idx="2">
                  <c:v>Workers Comp</c:v>
                </c:pt>
                <c:pt idx="3">
                  <c:v>Electric</c:v>
                </c:pt>
                <c:pt idx="4">
                  <c:v>Gas</c:v>
                </c:pt>
                <c:pt idx="5">
                  <c:v>Trash</c:v>
                </c:pt>
                <c:pt idx="6">
                  <c:v>Sewer-septic</c:v>
                </c:pt>
                <c:pt idx="7">
                  <c:v>Water </c:v>
                </c:pt>
                <c:pt idx="8">
                  <c:v>Phone/Cable </c:v>
                </c:pt>
                <c:pt idx="9">
                  <c:v>Auto expense &amp; travel</c:v>
                </c:pt>
                <c:pt idx="10">
                  <c:v>Maintenance $250 per space </c:v>
                </c:pt>
                <c:pt idx="11">
                  <c:v>Outside Services -plumbing, electrical, etc</c:v>
                </c:pt>
                <c:pt idx="12">
                  <c:v>Landscape, pool, &amp; sweeping maintenance &amp; supplies</c:v>
                </c:pt>
                <c:pt idx="13">
                  <c:v>Property Taxes </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c:v>
                </c:pt>
              </c:strCache>
            </c:strRef>
          </c:cat>
          <c:val>
            <c:numRef>
              <c:f>'IE SUMMARY'!$B$32:$B$55</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8C16-44D1-B4ED-52863D21BCB7}"/>
            </c:ext>
          </c:extLst>
        </c:ser>
        <c:ser>
          <c:idx val="1"/>
          <c:order val="1"/>
          <c:tx>
            <c:strRef>
              <c:f>'IE SUMMARY'!$C$31</c:f>
              <c:strCache>
                <c:ptCount val="1"/>
                <c:pt idx="0">
                  <c:v>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Manager/Maint Salary Expense</c:v>
                </c:pt>
                <c:pt idx="1">
                  <c:v>Payroll Taxes</c:v>
                </c:pt>
                <c:pt idx="2">
                  <c:v>Workers Comp</c:v>
                </c:pt>
                <c:pt idx="3">
                  <c:v>Electric</c:v>
                </c:pt>
                <c:pt idx="4">
                  <c:v>Gas</c:v>
                </c:pt>
                <c:pt idx="5">
                  <c:v>Trash</c:v>
                </c:pt>
                <c:pt idx="6">
                  <c:v>Sewer-septic</c:v>
                </c:pt>
                <c:pt idx="7">
                  <c:v>Water </c:v>
                </c:pt>
                <c:pt idx="8">
                  <c:v>Phone/Cable </c:v>
                </c:pt>
                <c:pt idx="9">
                  <c:v>Auto expense &amp; travel</c:v>
                </c:pt>
                <c:pt idx="10">
                  <c:v>Maintenance $250 per space </c:v>
                </c:pt>
                <c:pt idx="11">
                  <c:v>Outside Services -plumbing, electrical, etc</c:v>
                </c:pt>
                <c:pt idx="12">
                  <c:v>Landscape, pool, &amp; sweeping maintenance &amp; supplies</c:v>
                </c:pt>
                <c:pt idx="13">
                  <c:v>Property Taxes </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c:v>
                </c:pt>
              </c:strCache>
            </c:strRef>
          </c:cat>
          <c:val>
            <c:numRef>
              <c:f>'IE SUMMARY'!$C$32:$C$55</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8C16-44D1-B4ED-52863D21BCB7}"/>
            </c:ext>
          </c:extLst>
        </c:ser>
        <c:ser>
          <c:idx val="2"/>
          <c:order val="2"/>
          <c:tx>
            <c:strRef>
              <c:f>'IE SUMMARY'!$D$31</c:f>
              <c:strCache>
                <c:ptCount val="1"/>
                <c:pt idx="0">
                  <c:v>2021</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Manager/Maint Salary Expense</c:v>
                </c:pt>
                <c:pt idx="1">
                  <c:v>Payroll Taxes</c:v>
                </c:pt>
                <c:pt idx="2">
                  <c:v>Workers Comp</c:v>
                </c:pt>
                <c:pt idx="3">
                  <c:v>Electric</c:v>
                </c:pt>
                <c:pt idx="4">
                  <c:v>Gas</c:v>
                </c:pt>
                <c:pt idx="5">
                  <c:v>Trash</c:v>
                </c:pt>
                <c:pt idx="6">
                  <c:v>Sewer-septic</c:v>
                </c:pt>
                <c:pt idx="7">
                  <c:v>Water </c:v>
                </c:pt>
                <c:pt idx="8">
                  <c:v>Phone/Cable </c:v>
                </c:pt>
                <c:pt idx="9">
                  <c:v>Auto expense &amp; travel</c:v>
                </c:pt>
                <c:pt idx="10">
                  <c:v>Maintenance $250 per space </c:v>
                </c:pt>
                <c:pt idx="11">
                  <c:v>Outside Services -plumbing, electrical, etc</c:v>
                </c:pt>
                <c:pt idx="12">
                  <c:v>Landscape, pool, &amp; sweeping maintenance &amp; supplies</c:v>
                </c:pt>
                <c:pt idx="13">
                  <c:v>Property Taxes </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c:v>
                </c:pt>
              </c:strCache>
            </c:strRef>
          </c:cat>
          <c:val>
            <c:numRef>
              <c:f>'IE SUMMARY'!$D$32:$D$55</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2-8C16-44D1-B4ED-52863D21BCB7}"/>
            </c:ext>
          </c:extLst>
        </c:ser>
        <c:ser>
          <c:idx val="3"/>
          <c:order val="3"/>
          <c:tx>
            <c:strRef>
              <c:f>'IE SUMMARY'!$E$31</c:f>
              <c:strCache>
                <c:ptCount val="1"/>
                <c:pt idx="0">
                  <c:v>Trailing 12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Manager/Maint Salary Expense</c:v>
                </c:pt>
                <c:pt idx="1">
                  <c:v>Payroll Taxes</c:v>
                </c:pt>
                <c:pt idx="2">
                  <c:v>Workers Comp</c:v>
                </c:pt>
                <c:pt idx="3">
                  <c:v>Electric</c:v>
                </c:pt>
                <c:pt idx="4">
                  <c:v>Gas</c:v>
                </c:pt>
                <c:pt idx="5">
                  <c:v>Trash</c:v>
                </c:pt>
                <c:pt idx="6">
                  <c:v>Sewer-septic</c:v>
                </c:pt>
                <c:pt idx="7">
                  <c:v>Water </c:v>
                </c:pt>
                <c:pt idx="8">
                  <c:v>Phone/Cable </c:v>
                </c:pt>
                <c:pt idx="9">
                  <c:v>Auto expense &amp; travel</c:v>
                </c:pt>
                <c:pt idx="10">
                  <c:v>Maintenance $250 per space </c:v>
                </c:pt>
                <c:pt idx="11">
                  <c:v>Outside Services -plumbing, electrical, etc</c:v>
                </c:pt>
                <c:pt idx="12">
                  <c:v>Landscape, pool, &amp; sweeping maintenance &amp; supplies</c:v>
                </c:pt>
                <c:pt idx="13">
                  <c:v>Property Taxes </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c:v>
                </c:pt>
              </c:strCache>
            </c:strRef>
          </c:cat>
          <c:val>
            <c:numRef>
              <c:f>'IE SUMMARY'!$E$32:$E$55</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3-8C16-44D1-B4ED-52863D21BCB7}"/>
            </c:ext>
          </c:extLst>
        </c:ser>
        <c:ser>
          <c:idx val="4"/>
          <c:order val="4"/>
          <c:tx>
            <c:strRef>
              <c:f>'IE SUMMARY'!$F$31</c:f>
              <c:strCache>
                <c:ptCount val="1"/>
                <c:pt idx="0">
                  <c:v>2022 Annualized</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Manager/Maint Salary Expense</c:v>
                </c:pt>
                <c:pt idx="1">
                  <c:v>Payroll Taxes</c:v>
                </c:pt>
                <c:pt idx="2">
                  <c:v>Workers Comp</c:v>
                </c:pt>
                <c:pt idx="3">
                  <c:v>Electric</c:v>
                </c:pt>
                <c:pt idx="4">
                  <c:v>Gas</c:v>
                </c:pt>
                <c:pt idx="5">
                  <c:v>Trash</c:v>
                </c:pt>
                <c:pt idx="6">
                  <c:v>Sewer-septic</c:v>
                </c:pt>
                <c:pt idx="7">
                  <c:v>Water </c:v>
                </c:pt>
                <c:pt idx="8">
                  <c:v>Phone/Cable </c:v>
                </c:pt>
                <c:pt idx="9">
                  <c:v>Auto expense &amp; travel</c:v>
                </c:pt>
                <c:pt idx="10">
                  <c:v>Maintenance $250 per space </c:v>
                </c:pt>
                <c:pt idx="11">
                  <c:v>Outside Services -plumbing, electrical, etc</c:v>
                </c:pt>
                <c:pt idx="12">
                  <c:v>Landscape, pool, &amp; sweeping maintenance &amp; supplies</c:v>
                </c:pt>
                <c:pt idx="13">
                  <c:v>Property Taxes </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c:v>
                </c:pt>
              </c:strCache>
            </c:strRef>
          </c:cat>
          <c:val>
            <c:numRef>
              <c:f>'IE SUMMARY'!$F$32:$F$55</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4-8C16-44D1-B4ED-52863D21BCB7}"/>
            </c:ext>
          </c:extLst>
        </c:ser>
        <c:ser>
          <c:idx val="5"/>
          <c:order val="5"/>
          <c:tx>
            <c:strRef>
              <c:f>'IE SUMMARY'!$G$31</c:f>
              <c:strCache>
                <c:ptCount val="1"/>
                <c:pt idx="0">
                  <c:v>Broker Projection</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Manager/Maint Salary Expense</c:v>
                </c:pt>
                <c:pt idx="1">
                  <c:v>Payroll Taxes</c:v>
                </c:pt>
                <c:pt idx="2">
                  <c:v>Workers Comp</c:v>
                </c:pt>
                <c:pt idx="3">
                  <c:v>Electric</c:v>
                </c:pt>
                <c:pt idx="4">
                  <c:v>Gas</c:v>
                </c:pt>
                <c:pt idx="5">
                  <c:v>Trash</c:v>
                </c:pt>
                <c:pt idx="6">
                  <c:v>Sewer-septic</c:v>
                </c:pt>
                <c:pt idx="7">
                  <c:v>Water </c:v>
                </c:pt>
                <c:pt idx="8">
                  <c:v>Phone/Cable </c:v>
                </c:pt>
                <c:pt idx="9">
                  <c:v>Auto expense &amp; travel</c:v>
                </c:pt>
                <c:pt idx="10">
                  <c:v>Maintenance $250 per space </c:v>
                </c:pt>
                <c:pt idx="11">
                  <c:v>Outside Services -plumbing, electrical, etc</c:v>
                </c:pt>
                <c:pt idx="12">
                  <c:v>Landscape, pool, &amp; sweeping maintenance &amp; supplies</c:v>
                </c:pt>
                <c:pt idx="13">
                  <c:v>Property Taxes </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c:v>
                </c:pt>
              </c:strCache>
            </c:strRef>
          </c:cat>
          <c:val>
            <c:numRef>
              <c:f>'IE SUMMARY'!$G$32:$G$55</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5-8C16-44D1-B4ED-52863D21BCB7}"/>
            </c:ext>
          </c:extLst>
        </c:ser>
        <c:ser>
          <c:idx val="6"/>
          <c:order val="6"/>
          <c:tx>
            <c:strRef>
              <c:f>'IE SUMMARY'!$H$31</c:f>
              <c:strCache>
                <c:ptCount val="1"/>
                <c:pt idx="0">
                  <c:v>BVG Yr 1 Projection</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Manager/Maint Salary Expense</c:v>
                </c:pt>
                <c:pt idx="1">
                  <c:v>Payroll Taxes</c:v>
                </c:pt>
                <c:pt idx="2">
                  <c:v>Workers Comp</c:v>
                </c:pt>
                <c:pt idx="3">
                  <c:v>Electric</c:v>
                </c:pt>
                <c:pt idx="4">
                  <c:v>Gas</c:v>
                </c:pt>
                <c:pt idx="5">
                  <c:v>Trash</c:v>
                </c:pt>
                <c:pt idx="6">
                  <c:v>Sewer-septic</c:v>
                </c:pt>
                <c:pt idx="7">
                  <c:v>Water </c:v>
                </c:pt>
                <c:pt idx="8">
                  <c:v>Phone/Cable </c:v>
                </c:pt>
                <c:pt idx="9">
                  <c:v>Auto expense &amp; travel</c:v>
                </c:pt>
                <c:pt idx="10">
                  <c:v>Maintenance $250 per space </c:v>
                </c:pt>
                <c:pt idx="11">
                  <c:v>Outside Services -plumbing, electrical, etc</c:v>
                </c:pt>
                <c:pt idx="12">
                  <c:v>Landscape, pool, &amp; sweeping maintenance &amp; supplies</c:v>
                </c:pt>
                <c:pt idx="13">
                  <c:v>Property Taxes </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c:v>
                </c:pt>
              </c:strCache>
            </c:strRef>
          </c:cat>
          <c:val>
            <c:numRef>
              <c:f>'IE SUMMARY'!$H$32:$H$55</c:f>
              <c:numCache>
                <c:formatCode>"$"#,##0_);[Red]\("$"#,##0\)</c:formatCode>
                <c:ptCount val="24"/>
                <c:pt idx="0">
                  <c:v>70000</c:v>
                </c:pt>
                <c:pt idx="1">
                  <c:v>11900</c:v>
                </c:pt>
                <c:pt idx="2">
                  <c:v>4200</c:v>
                </c:pt>
                <c:pt idx="3">
                  <c:v>23913.9</c:v>
                </c:pt>
                <c:pt idx="4">
                  <c:v>2977.38</c:v>
                </c:pt>
                <c:pt idx="5">
                  <c:v>13461.960000000003</c:v>
                </c:pt>
                <c:pt idx="6">
                  <c:v>15808.98</c:v>
                </c:pt>
                <c:pt idx="7">
                  <c:v>0</c:v>
                </c:pt>
                <c:pt idx="8">
                  <c:v>1080</c:v>
                </c:pt>
                <c:pt idx="9">
                  <c:v>2500</c:v>
                </c:pt>
                <c:pt idx="10">
                  <c:v>55600</c:v>
                </c:pt>
                <c:pt idx="11">
                  <c:v>10000</c:v>
                </c:pt>
                <c:pt idx="12">
                  <c:v>8853.6</c:v>
                </c:pt>
                <c:pt idx="13">
                  <c:v>28355.550000000003</c:v>
                </c:pt>
                <c:pt idx="14">
                  <c:v>20000</c:v>
                </c:pt>
                <c:pt idx="15">
                  <c:v>1095</c:v>
                </c:pt>
                <c:pt idx="16">
                  <c:v>2500</c:v>
                </c:pt>
                <c:pt idx="17">
                  <c:v>1700</c:v>
                </c:pt>
                <c:pt idx="18">
                  <c:v>0</c:v>
                </c:pt>
                <c:pt idx="19">
                  <c:v>2450</c:v>
                </c:pt>
                <c:pt idx="20">
                  <c:v>1340.28</c:v>
                </c:pt>
                <c:pt idx="21">
                  <c:v>300</c:v>
                </c:pt>
                <c:pt idx="22">
                  <c:v>1000</c:v>
                </c:pt>
                <c:pt idx="23">
                  <c:v>22719.666000000001</c:v>
                </c:pt>
              </c:numCache>
            </c:numRef>
          </c:val>
          <c:extLst>
            <c:ext xmlns:c16="http://schemas.microsoft.com/office/drawing/2014/chart" uri="{C3380CC4-5D6E-409C-BE32-E72D297353CC}">
              <c16:uniqueId val="{00000006-8C16-44D1-B4ED-52863D21BCB7}"/>
            </c:ext>
          </c:extLst>
        </c:ser>
        <c:dLbls>
          <c:showLegendKey val="0"/>
          <c:showVal val="0"/>
          <c:showCatName val="0"/>
          <c:showSerName val="0"/>
          <c:showPercent val="0"/>
          <c:showBubbleSize val="0"/>
        </c:dLbls>
        <c:gapWidth val="100"/>
        <c:overlap val="-24"/>
        <c:axId val="750202264"/>
        <c:axId val="750202592"/>
      </c:barChart>
      <c:catAx>
        <c:axId val="7502022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50202592"/>
        <c:crosses val="autoZero"/>
        <c:auto val="1"/>
        <c:lblAlgn val="ctr"/>
        <c:lblOffset val="100"/>
        <c:noMultiLvlLbl val="0"/>
      </c:catAx>
      <c:valAx>
        <c:axId val="750202592"/>
        <c:scaling>
          <c:orientation val="minMax"/>
        </c:scaling>
        <c:delete val="0"/>
        <c:axPos val="l"/>
        <c:majorGridlines>
          <c:spPr>
            <a:ln w="9525" cap="flat" cmpd="sng" algn="ctr">
              <a:solidFill>
                <a:schemeClr val="lt1">
                  <a:lumMod val="95000"/>
                  <a:alpha val="10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50202264"/>
        <c:crosses val="autoZero"/>
        <c:crossBetween val="between"/>
      </c:valAx>
      <c:spPr>
        <a:noFill/>
        <a:ln>
          <a:noFill/>
        </a:ln>
        <a:effectLst/>
      </c:spPr>
    </c:plotArea>
    <c:legend>
      <c:legendPos val="b"/>
      <c:layout>
        <c:manualLayout>
          <c:xMode val="edge"/>
          <c:yMode val="edge"/>
          <c:x val="0.35259784107105308"/>
          <c:y val="0.93092637229207786"/>
          <c:w val="0.25375585099340325"/>
          <c:h val="5.75212820132251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A7A6008-31BD-40D9-8117-02E0CA5173B3}">
  <sheetPr codeName="Chart12">
    <tabColor rgb="FF7030A0"/>
  </sheetPr>
  <sheetViews>
    <sheetView zoomScale="131"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emf"/><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255905</xdr:colOff>
      <xdr:row>28</xdr:row>
      <xdr:rowOff>10795</xdr:rowOff>
    </xdr:from>
    <xdr:to>
      <xdr:col>8</xdr:col>
      <xdr:colOff>636905</xdr:colOff>
      <xdr:row>28</xdr:row>
      <xdr:rowOff>628650</xdr:rowOff>
    </xdr:to>
    <xdr:sp macro="" textlink="">
      <xdr:nvSpPr>
        <xdr:cNvPr id="3" name="TextBox 2">
          <a:extLst>
            <a:ext uri="{FF2B5EF4-FFF2-40B4-BE49-F238E27FC236}">
              <a16:creationId xmlns:a16="http://schemas.microsoft.com/office/drawing/2014/main" id="{3E9FA150-E4BB-4EDD-A800-81217D8D36B4}"/>
            </a:ext>
          </a:extLst>
        </xdr:cNvPr>
        <xdr:cNvSpPr txBox="1"/>
      </xdr:nvSpPr>
      <xdr:spPr>
        <a:xfrm>
          <a:off x="255905" y="6030595"/>
          <a:ext cx="6867525" cy="6178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Largest factors in increasing value will be filling 20 vacant sites</a:t>
          </a:r>
          <a:r>
            <a:rPr lang="en-US" sz="1100" baseline="0">
              <a:solidFill>
                <a:schemeClr val="dk1"/>
              </a:solidFill>
              <a:effectLst/>
              <a:latin typeface="+mn-lt"/>
              <a:ea typeface="+mn-ea"/>
              <a:cs typeface="+mn-cs"/>
            </a:rPr>
            <a:t> per year and annual rent increases.  Property value is projected to be more than $9 million after 4 years of ownership under this model.</a:t>
          </a:r>
          <a:endParaRPr lang="en-US">
            <a:effectLst/>
          </a:endParaRPr>
        </a:p>
        <a:p>
          <a:endParaRPr lang="en-US" sz="1100"/>
        </a:p>
      </xdr:txBody>
    </xdr:sp>
    <xdr:clientData/>
  </xdr:twoCellAnchor>
  <xdr:twoCellAnchor>
    <xdr:from>
      <xdr:col>1</xdr:col>
      <xdr:colOff>0</xdr:colOff>
      <xdr:row>17</xdr:row>
      <xdr:rowOff>12065</xdr:rowOff>
    </xdr:from>
    <xdr:to>
      <xdr:col>8</xdr:col>
      <xdr:colOff>658495</xdr:colOff>
      <xdr:row>17</xdr:row>
      <xdr:rowOff>1209675</xdr:rowOff>
    </xdr:to>
    <xdr:sp macro="" textlink="">
      <xdr:nvSpPr>
        <xdr:cNvPr id="4" name="TextBox 3">
          <a:extLst>
            <a:ext uri="{FF2B5EF4-FFF2-40B4-BE49-F238E27FC236}">
              <a16:creationId xmlns:a16="http://schemas.microsoft.com/office/drawing/2014/main" id="{03B3B327-1FA2-402C-A4BF-B83C3F95014B}"/>
            </a:ext>
          </a:extLst>
        </xdr:cNvPr>
        <xdr:cNvSpPr txBox="1"/>
      </xdr:nvSpPr>
      <xdr:spPr>
        <a:xfrm>
          <a:off x="266700" y="3288665"/>
          <a:ext cx="6878320" cy="11976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Timberline Estates includes</a:t>
          </a:r>
          <a:r>
            <a:rPr lang="en-US" sz="1100" baseline="0">
              <a:solidFill>
                <a:schemeClr val="dk1"/>
              </a:solidFill>
              <a:effectLst/>
              <a:latin typeface="+mn-lt"/>
              <a:ea typeface="+mn-ea"/>
              <a:cs typeface="+mn-cs"/>
            </a:rPr>
            <a:t> 3 parks all located within a quarter mile of eachother and are operated by one management team.  West Burlington has an ongiong housing shortage and has several large employers including Great River Health, Parrott Family Farms and West Liberty Foods. </a:t>
          </a:r>
          <a:r>
            <a:rPr lang="en-US" sz="1100">
              <a:solidFill>
                <a:schemeClr val="dk1"/>
              </a:solidFill>
              <a:effectLst/>
              <a:latin typeface="+mn-lt"/>
              <a:ea typeface="+mn-ea"/>
              <a:cs typeface="+mn-cs"/>
            </a:rPr>
            <a:t>The parks are located 1.5 hours south of Davenport, IA </a:t>
          </a:r>
          <a:r>
            <a:rPr lang="en-US" sz="1100" baseline="0">
              <a:solidFill>
                <a:schemeClr val="dk1"/>
              </a:solidFill>
              <a:effectLst/>
              <a:latin typeface="+mn-lt"/>
              <a:ea typeface="+mn-ea"/>
              <a:cs typeface="+mn-cs"/>
            </a:rPr>
            <a:t> which has MSA population of more than 380,000.  The property has been mismanaged by previous owner with significant vacancy and low space rents.  BoaVida plan is to bring in 20 homes per year and raise rent and occupancy without any negative impact on the current tenant base.</a:t>
          </a:r>
          <a:endParaRPr lang="en-US" sz="1100"/>
        </a:p>
      </xdr:txBody>
    </xdr:sp>
    <xdr:clientData/>
  </xdr:twoCellAnchor>
  <xdr:twoCellAnchor editAs="oneCell">
    <xdr:from>
      <xdr:col>0</xdr:col>
      <xdr:colOff>0</xdr:colOff>
      <xdr:row>0</xdr:row>
      <xdr:rowOff>0</xdr:rowOff>
    </xdr:from>
    <xdr:to>
      <xdr:col>2</xdr:col>
      <xdr:colOff>324390</xdr:colOff>
      <xdr:row>4</xdr:row>
      <xdr:rowOff>123189</xdr:rowOff>
    </xdr:to>
    <xdr:pic>
      <xdr:nvPicPr>
        <xdr:cNvPr id="6" name="Picture 5">
          <a:extLst>
            <a:ext uri="{FF2B5EF4-FFF2-40B4-BE49-F238E27FC236}">
              <a16:creationId xmlns:a16="http://schemas.microsoft.com/office/drawing/2014/main" id="{CA5F806C-B140-4437-969E-262A5C5F6A9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665510" cy="800099"/>
        </a:xfrm>
        <a:prstGeom prst="rect">
          <a:avLst/>
        </a:prstGeom>
      </xdr:spPr>
    </xdr:pic>
    <xdr:clientData/>
  </xdr:twoCellAnchor>
  <xdr:twoCellAnchor>
    <xdr:from>
      <xdr:col>0</xdr:col>
      <xdr:colOff>247650</xdr:colOff>
      <xdr:row>19</xdr:row>
      <xdr:rowOff>74296</xdr:rowOff>
    </xdr:from>
    <xdr:to>
      <xdr:col>9</xdr:col>
      <xdr:colOff>0</xdr:colOff>
      <xdr:row>27</xdr:row>
      <xdr:rowOff>28575</xdr:rowOff>
    </xdr:to>
    <xdr:sp macro="" textlink="">
      <xdr:nvSpPr>
        <xdr:cNvPr id="5" name="TextBox 4">
          <a:extLst>
            <a:ext uri="{FF2B5EF4-FFF2-40B4-BE49-F238E27FC236}">
              <a16:creationId xmlns:a16="http://schemas.microsoft.com/office/drawing/2014/main" id="{2C23BDF4-D59C-4AC2-903F-B4F24B5C315D}"/>
            </a:ext>
          </a:extLst>
        </xdr:cNvPr>
        <xdr:cNvSpPr txBox="1"/>
      </xdr:nvSpPr>
      <xdr:spPr>
        <a:xfrm>
          <a:off x="247650" y="4855846"/>
          <a:ext cx="6924675" cy="4781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a:solidFill>
                <a:schemeClr val="dk1"/>
              </a:solidFill>
              <a:effectLst/>
              <a:latin typeface="+mn-lt"/>
              <a:ea typeface="+mn-ea"/>
              <a:cs typeface="+mn-cs"/>
            </a:rPr>
            <a:t>Additional cash will be used to fix up a few vacant park owned homes, prep vacant</a:t>
          </a:r>
          <a:r>
            <a:rPr lang="en-US" sz="1100" baseline="0">
              <a:solidFill>
                <a:schemeClr val="dk1"/>
              </a:solidFill>
              <a:effectLst/>
              <a:latin typeface="+mn-lt"/>
              <a:ea typeface="+mn-ea"/>
              <a:cs typeface="+mn-cs"/>
            </a:rPr>
            <a:t> lots, and set some new homes on the vacant lots</a:t>
          </a:r>
          <a:endParaRPr lang="en-US">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273050</xdr:rowOff>
    </xdr:from>
    <xdr:to>
      <xdr:col>23</xdr:col>
      <xdr:colOff>588193</xdr:colOff>
      <xdr:row>35</xdr:row>
      <xdr:rowOff>19050</xdr:rowOff>
    </xdr:to>
    <xdr:pic>
      <xdr:nvPicPr>
        <xdr:cNvPr id="18" name="Picture 17">
          <a:extLst>
            <a:ext uri="{FF2B5EF4-FFF2-40B4-BE49-F238E27FC236}">
              <a16:creationId xmlns:a16="http://schemas.microsoft.com/office/drawing/2014/main" id="{56B98821-6867-FB01-4EFD-6BB8B4400601}"/>
            </a:ext>
          </a:extLst>
        </xdr:cNvPr>
        <xdr:cNvPicPr>
          <a:picLocks noChangeAspect="1"/>
        </xdr:cNvPicPr>
      </xdr:nvPicPr>
      <xdr:blipFill>
        <a:blip xmlns:r="http://schemas.openxmlformats.org/officeDocument/2006/relationships" r:embed="rId1"/>
        <a:stretch>
          <a:fillRect/>
        </a:stretch>
      </xdr:blipFill>
      <xdr:spPr>
        <a:xfrm>
          <a:off x="19050" y="273050"/>
          <a:ext cx="14809018" cy="55467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44</xdr:col>
      <xdr:colOff>0</xdr:colOff>
      <xdr:row>1</xdr:row>
      <xdr:rowOff>0</xdr:rowOff>
    </xdr:from>
    <xdr:to>
      <xdr:col>54</xdr:col>
      <xdr:colOff>571500</xdr:colOff>
      <xdr:row>51</xdr:row>
      <xdr:rowOff>131232</xdr:rowOff>
    </xdr:to>
    <xdr:pic>
      <xdr:nvPicPr>
        <xdr:cNvPr id="7" name="Picture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8041600" y="161924"/>
          <a:ext cx="6667500" cy="8628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142875</xdr:colOff>
      <xdr:row>4</xdr:row>
      <xdr:rowOff>66676</xdr:rowOff>
    </xdr:from>
    <xdr:to>
      <xdr:col>14</xdr:col>
      <xdr:colOff>603</xdr:colOff>
      <xdr:row>26</xdr:row>
      <xdr:rowOff>134168</xdr:rowOff>
    </xdr:to>
    <xdr:pic>
      <xdr:nvPicPr>
        <xdr:cNvPr id="2" name="Picture 3">
          <a:extLst>
            <a:ext uri="{FF2B5EF4-FFF2-40B4-BE49-F238E27FC236}">
              <a16:creationId xmlns:a16="http://schemas.microsoft.com/office/drawing/2014/main" id="{28508D5E-F3C0-4FBE-879F-866AE5209907}"/>
            </a:ext>
          </a:extLst>
        </xdr:cNvPr>
        <xdr:cNvPicPr>
          <a:picLocks noChangeAspect="1"/>
        </xdr:cNvPicPr>
      </xdr:nvPicPr>
      <xdr:blipFill>
        <a:blip xmlns:r="http://schemas.openxmlformats.org/officeDocument/2006/relationships" r:embed="rId2"/>
        <a:stretch>
          <a:fillRect/>
        </a:stretch>
      </xdr:blipFill>
      <xdr:spPr>
        <a:xfrm>
          <a:off x="7343775" y="809626"/>
          <a:ext cx="5001228" cy="3934642"/>
        </a:xfrm>
        <a:prstGeom prst="rect">
          <a:avLst/>
        </a:prstGeom>
      </xdr:spPr>
    </xdr:pic>
    <xdr:clientData/>
  </xdr:twoCellAnchor>
  <xdr:twoCellAnchor editAs="oneCell">
    <xdr:from>
      <xdr:col>0</xdr:col>
      <xdr:colOff>0</xdr:colOff>
      <xdr:row>28</xdr:row>
      <xdr:rowOff>0</xdr:rowOff>
    </xdr:from>
    <xdr:to>
      <xdr:col>14</xdr:col>
      <xdr:colOff>257175</xdr:colOff>
      <xdr:row>56</xdr:row>
      <xdr:rowOff>4632</xdr:rowOff>
    </xdr:to>
    <xdr:pic>
      <xdr:nvPicPr>
        <xdr:cNvPr id="3" name="Picture 2">
          <a:extLst>
            <a:ext uri="{FF2B5EF4-FFF2-40B4-BE49-F238E27FC236}">
              <a16:creationId xmlns:a16="http://schemas.microsoft.com/office/drawing/2014/main" id="{85905884-51C7-4DA8-9837-9F32F5177103}"/>
            </a:ext>
          </a:extLst>
        </xdr:cNvPr>
        <xdr:cNvPicPr>
          <a:picLocks noChangeAspect="1"/>
        </xdr:cNvPicPr>
      </xdr:nvPicPr>
      <xdr:blipFill>
        <a:blip xmlns:r="http://schemas.openxmlformats.org/officeDocument/2006/relationships" r:embed="rId3"/>
        <a:stretch>
          <a:fillRect/>
        </a:stretch>
      </xdr:blipFill>
      <xdr:spPr>
        <a:xfrm>
          <a:off x="0" y="4933950"/>
          <a:ext cx="12601575" cy="4538532"/>
        </a:xfrm>
        <a:prstGeom prst="rect">
          <a:avLst/>
        </a:prstGeom>
      </xdr:spPr>
    </xdr:pic>
    <xdr:clientData/>
  </xdr:twoCellAnchor>
  <xdr:twoCellAnchor editAs="oneCell">
    <xdr:from>
      <xdr:col>0</xdr:col>
      <xdr:colOff>0</xdr:colOff>
      <xdr:row>57</xdr:row>
      <xdr:rowOff>0</xdr:rowOff>
    </xdr:from>
    <xdr:to>
      <xdr:col>11</xdr:col>
      <xdr:colOff>95250</xdr:colOff>
      <xdr:row>86</xdr:row>
      <xdr:rowOff>64882</xdr:rowOff>
    </xdr:to>
    <xdr:pic>
      <xdr:nvPicPr>
        <xdr:cNvPr id="4" name="Picture 3">
          <a:extLst>
            <a:ext uri="{FF2B5EF4-FFF2-40B4-BE49-F238E27FC236}">
              <a16:creationId xmlns:a16="http://schemas.microsoft.com/office/drawing/2014/main" id="{8AB2ACE7-4A50-4E13-9D56-33906544A988}"/>
            </a:ext>
          </a:extLst>
        </xdr:cNvPr>
        <xdr:cNvPicPr>
          <a:picLocks noChangeAspect="1"/>
        </xdr:cNvPicPr>
      </xdr:nvPicPr>
      <xdr:blipFill>
        <a:blip xmlns:r="http://schemas.openxmlformats.org/officeDocument/2006/relationships" r:embed="rId4"/>
        <a:stretch>
          <a:fillRect/>
        </a:stretch>
      </xdr:blipFill>
      <xdr:spPr>
        <a:xfrm>
          <a:off x="0" y="9629775"/>
          <a:ext cx="8191500" cy="4760707"/>
        </a:xfrm>
        <a:prstGeom prst="rect">
          <a:avLst/>
        </a:prstGeom>
      </xdr:spPr>
    </xdr:pic>
    <xdr:clientData/>
  </xdr:twoCellAnchor>
  <xdr:twoCellAnchor editAs="oneCell">
    <xdr:from>
      <xdr:col>12</xdr:col>
      <xdr:colOff>0</xdr:colOff>
      <xdr:row>57</xdr:row>
      <xdr:rowOff>0</xdr:rowOff>
    </xdr:from>
    <xdr:to>
      <xdr:col>22</xdr:col>
      <xdr:colOff>523875</xdr:colOff>
      <xdr:row>85</xdr:row>
      <xdr:rowOff>147678</xdr:rowOff>
    </xdr:to>
    <xdr:pic>
      <xdr:nvPicPr>
        <xdr:cNvPr id="5" name="Picture 4">
          <a:extLst>
            <a:ext uri="{FF2B5EF4-FFF2-40B4-BE49-F238E27FC236}">
              <a16:creationId xmlns:a16="http://schemas.microsoft.com/office/drawing/2014/main" id="{AB3897B0-5CC5-47E4-BADD-37211E0345DE}"/>
            </a:ext>
          </a:extLst>
        </xdr:cNvPr>
        <xdr:cNvPicPr>
          <a:picLocks noChangeAspect="1"/>
        </xdr:cNvPicPr>
      </xdr:nvPicPr>
      <xdr:blipFill>
        <a:blip xmlns:r="http://schemas.openxmlformats.org/officeDocument/2006/relationships" r:embed="rId5"/>
        <a:stretch>
          <a:fillRect/>
        </a:stretch>
      </xdr:blipFill>
      <xdr:spPr>
        <a:xfrm>
          <a:off x="9105900" y="9629775"/>
          <a:ext cx="8715375" cy="46815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absoluteAnchor>
    <xdr:pos x="0" y="0"/>
    <xdr:ext cx="8659752" cy="6289408"/>
    <xdr:graphicFrame macro="">
      <xdr:nvGraphicFramePr>
        <xdr:cNvPr id="2" name="Chart 1">
          <a:extLst>
            <a:ext uri="{FF2B5EF4-FFF2-40B4-BE49-F238E27FC236}">
              <a16:creationId xmlns:a16="http://schemas.microsoft.com/office/drawing/2014/main" id="{53A7B91D-A119-452C-AB3B-312D4A5F9E0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twoCellAnchor>
    <xdr:from>
      <xdr:col>0</xdr:col>
      <xdr:colOff>285750</xdr:colOff>
      <xdr:row>1</xdr:row>
      <xdr:rowOff>42861</xdr:rowOff>
    </xdr:from>
    <xdr:to>
      <xdr:col>42</xdr:col>
      <xdr:colOff>361950</xdr:colOff>
      <xdr:row>35</xdr:row>
      <xdr:rowOff>161924</xdr:rowOff>
    </xdr:to>
    <xdr:graphicFrame macro="">
      <xdr:nvGraphicFramePr>
        <xdr:cNvPr id="2" name="Chart 1">
          <a:extLst>
            <a:ext uri="{FF2B5EF4-FFF2-40B4-BE49-F238E27FC236}">
              <a16:creationId xmlns:a16="http://schemas.microsoft.com/office/drawing/2014/main" id="{DC4ACCEF-F067-4A6B-886A-E084D4689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LEWIS/00REPORT/00-9897/ESUITEBP/ESUITFI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Ophist1"/>
      <sheetName val="Ophist2"/>
      <sheetName val="Ophist%"/>
      <sheetName val="Ophist YTD"/>
      <sheetName val="Trailing 12"/>
      <sheetName val="Base Year"/>
      <sheetName val="FixVar"/>
      <sheetName val="Hotel Tax Model"/>
      <sheetName val="Projection"/>
      <sheetName val="Hotel Tax Model-Report Table"/>
      <sheetName val="bpcaexplan"/>
      <sheetName val="Recapture"/>
      <sheetName val="Hotel % Rent"/>
      <sheetName val="All Tax Comps"/>
      <sheetName val="Selected Tax Comps"/>
      <sheetName val="Ten Year"/>
      <sheetName val="DCF"/>
      <sheetName val="Matrix"/>
      <sheetName val="Fin Summary"/>
      <sheetName val="Comps"/>
      <sheetName val="Ind Avgs"/>
      <sheetName val="Inv Survey"/>
      <sheetName val="Inc Exp"/>
      <sheetName val="IE Forecast"/>
      <sheetName val="Dialog2"/>
      <sheetName val="Dialog5"/>
      <sheetName val="Module1"/>
      <sheetName val="L"/>
      <sheetName val="Dialog1"/>
      <sheetName val="Dialog3"/>
      <sheetName val="Dialog4"/>
    </sheetNames>
    <sheetDataSet>
      <sheetData sheetId="0"/>
      <sheetData sheetId="1"/>
      <sheetData sheetId="2"/>
      <sheetData sheetId="3"/>
      <sheetData sheetId="4"/>
      <sheetData sheetId="5"/>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sheetData sheetId="21"/>
      <sheetData sheetId="22" refreshError="1"/>
      <sheetData sheetId="23"/>
      <sheetData sheetId="24"/>
      <sheetData sheetId="25" refreshError="1"/>
      <sheetData sheetId="26" refreshError="1"/>
      <sheetData sheetId="27" refreshError="1"/>
      <sheetData sheetId="28"/>
      <sheetData sheetId="29" refreshError="1"/>
      <sheetData sheetId="30" refreshError="1"/>
      <sheetData sheetId="31" refreshError="1"/>
    </sheetDataSet>
  </externalBook>
</externalLink>
</file>

<file path=xl/persons/person.xml><?xml version="1.0" encoding="utf-8"?>
<personList xmlns="http://schemas.microsoft.com/office/spreadsheetml/2018/threadedcomments" xmlns:x="http://schemas.openxmlformats.org/spreadsheetml/2006/main">
  <person displayName="Alan Stevenson" id="{1CFF247D-A6C0-41AC-920A-A1895715E697}" userId="Alan Stevens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27" dT="2021-04-23T14:06:08.20" personId="{1CFF247D-A6C0-41AC-920A-A1895715E697}" id="{4A5875FD-6FE4-41FD-AAD3-38CC87E06ECE}">
    <text>Alan Stevenson:
For historicals, this is the total summed up vacancy (i.e. we do not break out vacancy between the three bvg categories)</text>
  </threadedComment>
  <threadedComment ref="C39" dT="2021-04-23T14:07:36.07" personId="{1CFF247D-A6C0-41AC-920A-A1895715E697}" id="{8D5A141D-9A3A-44F8-800C-FF25B58CEFF3}">
    <text>like Vacancy, this is a total number for the historicals column (since the historical categoties are not going to match the bvg categories)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en.wikipedia.org/wiki/1960_United_States_census" TargetMode="External"/><Relationship Id="rId13" Type="http://schemas.openxmlformats.org/officeDocument/2006/relationships/hyperlink" Target="https://en.wikipedia.org/wiki/2010_United_States_census" TargetMode="External"/><Relationship Id="rId3" Type="http://schemas.openxmlformats.org/officeDocument/2006/relationships/hyperlink" Target="https://en.wikipedia.org/wiki/1910_United_States_census" TargetMode="External"/><Relationship Id="rId7" Type="http://schemas.openxmlformats.org/officeDocument/2006/relationships/hyperlink" Target="https://en.wikipedia.org/wiki/1950_United_States_census" TargetMode="External"/><Relationship Id="rId12" Type="http://schemas.openxmlformats.org/officeDocument/2006/relationships/hyperlink" Target="https://en.wikipedia.org/wiki/2000_United_States_census" TargetMode="External"/><Relationship Id="rId17" Type="http://schemas.openxmlformats.org/officeDocument/2006/relationships/drawing" Target="../drawings/drawing3.xml"/><Relationship Id="rId2" Type="http://schemas.openxmlformats.org/officeDocument/2006/relationships/hyperlink" Target="https://en.wikipedia.org/wiki/1900_United_States_census" TargetMode="External"/><Relationship Id="rId16" Type="http://schemas.openxmlformats.org/officeDocument/2006/relationships/printerSettings" Target="../printerSettings/printerSettings6.bin"/><Relationship Id="rId1" Type="http://schemas.openxmlformats.org/officeDocument/2006/relationships/hyperlink" Target="https://en.wikipedia.org/wiki/1890_United_States_census" TargetMode="External"/><Relationship Id="rId6" Type="http://schemas.openxmlformats.org/officeDocument/2006/relationships/hyperlink" Target="https://en.wikipedia.org/wiki/1940_United_States_census" TargetMode="External"/><Relationship Id="rId11" Type="http://schemas.openxmlformats.org/officeDocument/2006/relationships/hyperlink" Target="https://en.wikipedia.org/wiki/1990_United_States_census" TargetMode="External"/><Relationship Id="rId5" Type="http://schemas.openxmlformats.org/officeDocument/2006/relationships/hyperlink" Target="https://en.wikipedia.org/wiki/1930_United_States_census" TargetMode="External"/><Relationship Id="rId15" Type="http://schemas.openxmlformats.org/officeDocument/2006/relationships/hyperlink" Target="https://en.wikipedia.org/wiki/West_Burlington,_Iowa" TargetMode="External"/><Relationship Id="rId10" Type="http://schemas.openxmlformats.org/officeDocument/2006/relationships/hyperlink" Target="https://en.wikipedia.org/wiki/1980_United_States_census" TargetMode="External"/><Relationship Id="rId4" Type="http://schemas.openxmlformats.org/officeDocument/2006/relationships/hyperlink" Target="https://en.wikipedia.org/wiki/1920_United_States_census" TargetMode="External"/><Relationship Id="rId9" Type="http://schemas.openxmlformats.org/officeDocument/2006/relationships/hyperlink" Target="https://en.wikipedia.org/wiki/1970_United_States_census" TargetMode="External"/><Relationship Id="rId14" Type="http://schemas.openxmlformats.org/officeDocument/2006/relationships/hyperlink" Target="https://en.wikipedia.org/wiki/2020_United_States_censu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2060"/>
  </sheetPr>
  <dimension ref="B6:I58"/>
  <sheetViews>
    <sheetView tabSelected="1" workbookViewId="0">
      <selection activeCell="K12" sqref="K12"/>
    </sheetView>
  </sheetViews>
  <sheetFormatPr baseColWidth="10" defaultColWidth="8.83203125" defaultRowHeight="13" x14ac:dyDescent="0.15"/>
  <cols>
    <col min="1" max="1" width="3.83203125" customWidth="1"/>
    <col min="2" max="2" width="15.83203125" customWidth="1"/>
    <col min="3" max="3" width="13" customWidth="1"/>
    <col min="4" max="4" width="11.1640625" customWidth="1"/>
    <col min="5" max="5" width="12.83203125" customWidth="1"/>
    <col min="6" max="6" width="11" customWidth="1"/>
    <col min="7" max="7" width="14" customWidth="1"/>
    <col min="8" max="8" width="11.1640625" customWidth="1"/>
    <col min="9" max="9" width="9.83203125" customWidth="1"/>
  </cols>
  <sheetData>
    <row r="6" spans="2:9" x14ac:dyDescent="0.15">
      <c r="B6" s="11" t="str">
        <f>Proforma!C1</f>
        <v>Timberline Estates - 14876 Washington Road, West Burlington, IA 52655</v>
      </c>
    </row>
    <row r="8" spans="2:9" ht="33" customHeight="1" x14ac:dyDescent="0.15">
      <c r="B8" s="665" t="s">
        <v>0</v>
      </c>
      <c r="C8" s="665" t="s">
        <v>1</v>
      </c>
      <c r="D8" s="665" t="s">
        <v>2</v>
      </c>
      <c r="E8" s="665" t="s">
        <v>3</v>
      </c>
      <c r="F8" s="665" t="s">
        <v>4</v>
      </c>
      <c r="G8" s="665" t="s">
        <v>5</v>
      </c>
      <c r="H8" s="665" t="s">
        <v>6</v>
      </c>
      <c r="I8" s="665" t="s">
        <v>7</v>
      </c>
    </row>
    <row r="9" spans="2:9" ht="26" customHeight="1" x14ac:dyDescent="0.15">
      <c r="B9" s="666">
        <f>'Financial Summary'!B5</f>
        <v>4503406</v>
      </c>
      <c r="C9" s="667">
        <f>Proforma!D17</f>
        <v>278</v>
      </c>
      <c r="D9" s="666">
        <f>B9/C9</f>
        <v>16199.302158273382</v>
      </c>
      <c r="E9" s="666">
        <f>Proforma!D7</f>
        <v>2221593.8119999999</v>
      </c>
      <c r="F9" s="668">
        <f>Proforma!G17</f>
        <v>0.52517985611510787</v>
      </c>
      <c r="G9" s="667">
        <f>Proforma!D19</f>
        <v>28</v>
      </c>
      <c r="H9" s="668">
        <f ca="1">Proforma!D10</f>
        <v>2.2696952902160172E-2</v>
      </c>
      <c r="I9" s="668">
        <f ca="1">Proforma!D136</f>
        <v>0.14410642942455043</v>
      </c>
    </row>
    <row r="11" spans="2:9" ht="15" x14ac:dyDescent="0.15">
      <c r="B11" s="118" t="s">
        <v>8</v>
      </c>
    </row>
    <row r="12" spans="2:9" ht="13.25" customHeight="1" x14ac:dyDescent="0.15">
      <c r="B12" s="67" t="s">
        <v>9</v>
      </c>
      <c r="C12" s="67"/>
      <c r="D12" s="67"/>
      <c r="E12" s="67" t="s">
        <v>10</v>
      </c>
      <c r="F12" s="67"/>
      <c r="G12" s="67"/>
      <c r="H12" s="67"/>
      <c r="I12" s="67"/>
    </row>
    <row r="13" spans="2:9" ht="15" x14ac:dyDescent="0.15">
      <c r="B13" s="67" t="s">
        <v>11</v>
      </c>
      <c r="C13" s="67"/>
      <c r="D13" s="67"/>
      <c r="E13" s="67" t="s">
        <v>12</v>
      </c>
      <c r="F13" s="67"/>
      <c r="G13" s="67"/>
      <c r="H13" s="67"/>
      <c r="I13" s="67"/>
    </row>
    <row r="14" spans="2:9" ht="15" x14ac:dyDescent="0.15">
      <c r="B14" s="67" t="s">
        <v>13</v>
      </c>
      <c r="C14" s="67"/>
      <c r="D14" s="67"/>
      <c r="E14" s="67" t="s">
        <v>14</v>
      </c>
      <c r="F14" s="67"/>
      <c r="G14" s="67"/>
      <c r="H14" s="67"/>
      <c r="I14" s="67"/>
    </row>
    <row r="15" spans="2:9" ht="15" x14ac:dyDescent="0.15">
      <c r="B15" s="67"/>
      <c r="C15" s="67"/>
      <c r="D15" s="67"/>
      <c r="E15" s="67"/>
      <c r="F15" s="67"/>
      <c r="H15" s="67"/>
      <c r="I15" s="67"/>
    </row>
    <row r="17" spans="2:9" ht="15" x14ac:dyDescent="0.15">
      <c r="B17" s="118" t="s">
        <v>15</v>
      </c>
    </row>
    <row r="18" spans="2:9" ht="104.5" customHeight="1" x14ac:dyDescent="0.15">
      <c r="B18" s="863"/>
      <c r="C18" s="863"/>
      <c r="D18" s="863"/>
      <c r="E18" s="863"/>
      <c r="F18" s="863"/>
      <c r="G18" s="863"/>
      <c r="H18" s="863"/>
      <c r="I18" s="863"/>
    </row>
    <row r="19" spans="2:9" ht="15" x14ac:dyDescent="0.15">
      <c r="B19" s="118" t="s">
        <v>16</v>
      </c>
      <c r="C19" s="669"/>
      <c r="D19" s="669"/>
      <c r="E19" s="669"/>
      <c r="F19" s="669"/>
      <c r="G19" s="669"/>
      <c r="H19" s="669"/>
      <c r="I19" s="669"/>
    </row>
    <row r="20" spans="2:9" ht="41" customHeight="1" x14ac:dyDescent="0.15">
      <c r="B20" s="4"/>
      <c r="C20" s="669"/>
      <c r="D20" s="669"/>
      <c r="E20" s="669"/>
      <c r="F20" s="669"/>
      <c r="G20" s="669"/>
      <c r="H20" s="669"/>
      <c r="I20" s="669"/>
    </row>
    <row r="21" spans="2:9" ht="15" hidden="1" x14ac:dyDescent="0.15">
      <c r="B21" s="5"/>
      <c r="C21" s="669"/>
      <c r="D21" s="669"/>
      <c r="E21" s="669"/>
      <c r="F21" s="669"/>
      <c r="G21" s="669"/>
      <c r="H21" s="669"/>
      <c r="I21" s="669"/>
    </row>
    <row r="22" spans="2:9" ht="15" hidden="1" x14ac:dyDescent="0.15">
      <c r="B22" s="5"/>
      <c r="C22" s="669"/>
      <c r="D22" s="669"/>
      <c r="E22" s="669"/>
      <c r="F22" s="669"/>
      <c r="G22" s="669"/>
      <c r="H22" s="669"/>
      <c r="I22" s="669"/>
    </row>
    <row r="23" spans="2:9" ht="15" hidden="1" x14ac:dyDescent="0.15">
      <c r="B23" s="5"/>
    </row>
    <row r="24" spans="2:9" ht="15" hidden="1" x14ac:dyDescent="0.15">
      <c r="B24" s="5"/>
    </row>
    <row r="25" spans="2:9" hidden="1" x14ac:dyDescent="0.15"/>
    <row r="26" spans="2:9" hidden="1" x14ac:dyDescent="0.15"/>
    <row r="27" spans="2:9" hidden="1" x14ac:dyDescent="0.15"/>
    <row r="28" spans="2:9" ht="20.5" customHeight="1" x14ac:dyDescent="0.15">
      <c r="B28" s="118" t="s">
        <v>17</v>
      </c>
    </row>
    <row r="29" spans="2:9" ht="57.5" customHeight="1" x14ac:dyDescent="0.15">
      <c r="B29" s="864"/>
      <c r="C29" s="865"/>
      <c r="D29" s="865"/>
      <c r="E29" s="865"/>
      <c r="F29" s="865"/>
      <c r="G29" s="865"/>
      <c r="H29" s="865"/>
    </row>
    <row r="30" spans="2:9" ht="15" x14ac:dyDescent="0.15">
      <c r="B30" s="5"/>
    </row>
    <row r="31" spans="2:9" ht="14" thickBot="1" x14ac:dyDescent="0.2"/>
    <row r="32" spans="2:9" ht="15" x14ac:dyDescent="0.15">
      <c r="B32" s="119" t="s">
        <v>18</v>
      </c>
      <c r="C32" s="119" t="s">
        <v>19</v>
      </c>
      <c r="D32" s="119" t="s">
        <v>4</v>
      </c>
      <c r="E32" s="119" t="s">
        <v>20</v>
      </c>
      <c r="F32" s="120" t="s">
        <v>21</v>
      </c>
      <c r="G32" s="121"/>
    </row>
    <row r="33" spans="2:9" ht="27.75" customHeight="1" thickBot="1" x14ac:dyDescent="0.2">
      <c r="B33" s="2">
        <f ca="1">Proforma!J104</f>
        <v>11840208.658837525</v>
      </c>
      <c r="C33" s="65">
        <f ca="1">B33/C9</f>
        <v>42590.678628911963</v>
      </c>
      <c r="D33" s="3">
        <f>Proforma!E40</f>
        <v>0.1</v>
      </c>
      <c r="E33" s="3">
        <f>Proforma!D11</f>
        <v>5.5E-2</v>
      </c>
      <c r="F33" s="861">
        <f ca="1">Proforma!D138/-Proforma!E132</f>
        <v>1.4409935336045594</v>
      </c>
      <c r="G33" s="862"/>
    </row>
    <row r="34" spans="2:9" ht="14" thickBot="1" x14ac:dyDescent="0.2"/>
    <row r="35" spans="2:9" ht="18" x14ac:dyDescent="0.2">
      <c r="B35" s="91" t="s">
        <v>22</v>
      </c>
      <c r="C35" s="92"/>
      <c r="D35" s="92"/>
      <c r="E35" s="92"/>
      <c r="F35" s="92"/>
      <c r="G35" s="92"/>
      <c r="H35" s="92"/>
      <c r="I35" s="93"/>
    </row>
    <row r="36" spans="2:9" x14ac:dyDescent="0.15">
      <c r="B36" s="94"/>
      <c r="C36" s="44"/>
      <c r="D36" s="44"/>
      <c r="E36" s="44"/>
      <c r="F36" s="44"/>
      <c r="G36" s="44"/>
      <c r="H36" s="44"/>
      <c r="I36" s="670"/>
    </row>
    <row r="37" spans="2:9" ht="13.25" customHeight="1" thickBot="1" x14ac:dyDescent="0.25">
      <c r="B37" s="113" t="s">
        <v>23</v>
      </c>
      <c r="C37" s="66"/>
      <c r="D37" s="95">
        <f>-Proforma!E117</f>
        <v>3909999.8119999999</v>
      </c>
      <c r="E37" s="866" t="str">
        <f>TEXT(Proforma!K24,"0%")&amp;" preferred return paid to investors.  All cash flow including refinance proceeds above the "&amp;TEXT(Proforma!K24,"0%")&amp;" preferred shall be paid to investors until 100% of their investment is returned.  After 100% of the original capital has been returned, then investors and BVG shall split the cash flow and refinance proceeds "&amp;TEXT(Proforma!K22,"00%")&amp;"/"&amp;TEXT(Proforma!K23,"00%")</f>
        <v>5% preferred return paid to investors.  All cash flow including refinance proceeds above the 5% preferred shall be paid to investors until 100% of their investment is returned.  After 100% of the original capital has been returned, then investors and BVG shall split the cash flow and refinance proceeds 50%/50%</v>
      </c>
      <c r="F37" s="866"/>
      <c r="G37" s="866"/>
      <c r="H37" s="866"/>
      <c r="I37" s="867"/>
    </row>
    <row r="38" spans="2:9" ht="16" thickBot="1" x14ac:dyDescent="0.25">
      <c r="B38" s="115" t="s">
        <v>24</v>
      </c>
      <c r="C38" s="116"/>
      <c r="D38" s="117">
        <f>+D37</f>
        <v>3909999.8119999999</v>
      </c>
      <c r="E38" s="866"/>
      <c r="F38" s="866"/>
      <c r="G38" s="866"/>
      <c r="H38" s="866"/>
      <c r="I38" s="867"/>
    </row>
    <row r="39" spans="2:9" ht="14" x14ac:dyDescent="0.2">
      <c r="B39" s="113" t="s">
        <v>25</v>
      </c>
      <c r="C39" s="66"/>
      <c r="D39" s="96">
        <f>IF(InvestorPromote=50%,D38/(D37/5000),D38/(D37/6000))</f>
        <v>5000</v>
      </c>
      <c r="E39" s="866"/>
      <c r="F39" s="866"/>
      <c r="G39" s="866"/>
      <c r="H39" s="866"/>
      <c r="I39" s="867"/>
    </row>
    <row r="40" spans="2:9" ht="14" x14ac:dyDescent="0.2">
      <c r="B40" s="110"/>
      <c r="C40" s="66" t="s">
        <v>26</v>
      </c>
      <c r="D40" s="109">
        <f>D39/10000</f>
        <v>0.5</v>
      </c>
      <c r="E40" s="866"/>
      <c r="F40" s="866"/>
      <c r="G40" s="866"/>
      <c r="H40" s="866"/>
      <c r="I40" s="867"/>
    </row>
    <row r="41" spans="2:9" ht="14" x14ac:dyDescent="0.2">
      <c r="B41" s="114"/>
      <c r="C41" s="66"/>
      <c r="D41" s="95"/>
      <c r="E41" s="866"/>
      <c r="F41" s="866"/>
      <c r="G41" s="866"/>
      <c r="H41" s="866"/>
      <c r="I41" s="867"/>
    </row>
    <row r="42" spans="2:9" ht="14" x14ac:dyDescent="0.2">
      <c r="B42" s="114"/>
      <c r="C42" s="66"/>
      <c r="D42" s="97"/>
      <c r="E42" s="98"/>
      <c r="F42" s="98"/>
      <c r="G42" s="98"/>
      <c r="H42" s="98"/>
      <c r="I42" s="99"/>
    </row>
    <row r="43" spans="2:9" ht="14" x14ac:dyDescent="0.2">
      <c r="B43" s="110" t="s">
        <v>27</v>
      </c>
      <c r="C43" s="66"/>
      <c r="D43" s="66"/>
      <c r="E43" s="111" t="s">
        <v>28</v>
      </c>
      <c r="F43" s="111" t="s">
        <v>29</v>
      </c>
      <c r="G43" s="111" t="s">
        <v>30</v>
      </c>
      <c r="H43" s="111" t="s">
        <v>31</v>
      </c>
      <c r="I43" s="112" t="s">
        <v>32</v>
      </c>
    </row>
    <row r="44" spans="2:9" ht="14" x14ac:dyDescent="0.2">
      <c r="B44" s="110"/>
      <c r="C44" s="66"/>
      <c r="D44" s="66"/>
      <c r="E44" s="100">
        <f ca="1">$D$38*E45</f>
        <v>10652.798011256869</v>
      </c>
      <c r="F44" s="100">
        <f t="shared" ref="F44:I44" ca="1" si="0">$D$38*F45</f>
        <v>120215.65601125683</v>
      </c>
      <c r="G44" s="100">
        <f t="shared" ca="1" si="0"/>
        <v>245655.07217125685</v>
      </c>
      <c r="H44" s="100">
        <f t="shared" ca="1" si="0"/>
        <v>377450.37765445677</v>
      </c>
      <c r="I44" s="101">
        <f t="shared" ca="1" si="0"/>
        <v>4880310.5416388158</v>
      </c>
    </row>
    <row r="45" spans="2:9" ht="14" x14ac:dyDescent="0.2">
      <c r="B45" s="110"/>
      <c r="C45" s="66"/>
      <c r="D45" s="66"/>
      <c r="E45" s="102">
        <f ca="1">'Financial Summary'!E17</f>
        <v>2.7245009011414422E-3</v>
      </c>
      <c r="F45" s="102">
        <f ca="1">'Financial Summary'!F17</f>
        <v>3.07456935527998E-2</v>
      </c>
      <c r="G45" s="102">
        <f ca="1">'Financial Summary'!G17</f>
        <v>6.2827387207878685E-2</v>
      </c>
      <c r="H45" s="102">
        <f ca="1">'Financial Summary'!H17</f>
        <v>9.6534628082600216E-2</v>
      </c>
      <c r="I45" s="103">
        <f ca="1">'Financial Summary'!I17</f>
        <v>1.2481613238601392</v>
      </c>
    </row>
    <row r="46" spans="2:9" ht="6.5" customHeight="1" x14ac:dyDescent="0.2">
      <c r="B46" s="110"/>
      <c r="C46" s="66"/>
      <c r="D46" s="66"/>
      <c r="E46" s="66"/>
      <c r="F46" s="66"/>
      <c r="G46" s="66"/>
      <c r="H46" s="66"/>
      <c r="I46" s="104"/>
    </row>
    <row r="47" spans="2:9" ht="14" x14ac:dyDescent="0.2">
      <c r="B47" s="110" t="s">
        <v>33</v>
      </c>
      <c r="C47" s="66"/>
      <c r="D47" s="66"/>
      <c r="E47" s="105">
        <f>$D$40*Proforma!F142*2</f>
        <v>-2898678.7272727271</v>
      </c>
      <c r="F47" s="105">
        <f>$D$40*Proforma!G142*2</f>
        <v>-15272.727272727272</v>
      </c>
      <c r="G47" s="105">
        <f>$D$40*Proforma!H142*2</f>
        <v>-15272.727272727272</v>
      </c>
      <c r="H47" s="105">
        <f>$D$40*Proforma!I142*2</f>
        <v>-15272.727272727272</v>
      </c>
      <c r="I47" s="106">
        <f>$D$40*Proforma!J142*2</f>
        <v>-15272.727272727272</v>
      </c>
    </row>
    <row r="48" spans="2:9" ht="14" x14ac:dyDescent="0.2">
      <c r="B48" s="110"/>
      <c r="C48" s="66"/>
      <c r="D48" s="66"/>
      <c r="E48" s="66"/>
      <c r="F48" s="66"/>
      <c r="G48" s="66"/>
      <c r="H48" s="66"/>
      <c r="I48" s="104"/>
    </row>
    <row r="49" spans="2:9" ht="14" x14ac:dyDescent="0.2">
      <c r="B49" s="110" t="s">
        <v>34</v>
      </c>
      <c r="E49" s="122">
        <f ca="1">SUM(E44:I44)</f>
        <v>5634284.4454870429</v>
      </c>
      <c r="H49" s="123" t="s">
        <v>35</v>
      </c>
      <c r="I49" s="124">
        <f ca="1">Proforma!D136</f>
        <v>0.14410642942455043</v>
      </c>
    </row>
    <row r="50" spans="2:9" ht="17" x14ac:dyDescent="0.35">
      <c r="B50" s="110" t="s">
        <v>36</v>
      </c>
      <c r="E50" s="125">
        <f ca="1">D40*(Proforma!J104-IF(Proforma!D99&lt;&gt;5,Proforma!J99,Proforma!K93))</f>
        <v>2072036.5152965668</v>
      </c>
      <c r="H50" s="123" t="s">
        <v>37</v>
      </c>
      <c r="I50" s="124">
        <f ca="1">Proforma!D146</f>
        <v>0.19044541812226745</v>
      </c>
    </row>
    <row r="51" spans="2:9" ht="14" x14ac:dyDescent="0.2">
      <c r="B51" s="381" t="s">
        <v>38</v>
      </c>
      <c r="C51" s="382"/>
      <c r="D51" s="382"/>
      <c r="E51" s="383">
        <f ca="1">E49+E50</f>
        <v>7706320.9607836101</v>
      </c>
      <c r="I51" s="384"/>
    </row>
    <row r="52" spans="2:9" ht="15" thickBot="1" x14ac:dyDescent="0.25">
      <c r="B52" s="379" t="s">
        <v>39</v>
      </c>
      <c r="C52" s="107"/>
      <c r="D52" s="107"/>
      <c r="E52" s="380">
        <f ca="1">+E51/D38</f>
        <v>1.9709261716925142</v>
      </c>
      <c r="F52" s="107"/>
      <c r="G52" s="107"/>
      <c r="H52" s="107"/>
      <c r="I52" s="126"/>
    </row>
    <row r="54" spans="2:9" x14ac:dyDescent="0.15">
      <c r="I54" s="634" t="s">
        <v>40</v>
      </c>
    </row>
    <row r="55" spans="2:9" x14ac:dyDescent="0.15">
      <c r="F55" s="633" t="s">
        <v>41</v>
      </c>
      <c r="I55" s="634" t="s">
        <v>42</v>
      </c>
    </row>
    <row r="57" spans="2:9" x14ac:dyDescent="0.15">
      <c r="H57" s="633"/>
      <c r="I57" s="83"/>
    </row>
    <row r="58" spans="2:9" x14ac:dyDescent="0.15">
      <c r="I58" s="83"/>
    </row>
  </sheetData>
  <sheetProtection algorithmName="SHA-512" hashValue="LKvxDNt9tcWwyZLXBzT1fzKHuSjmlxGeJ+NaraVSKCT/gdJS3k8bYWYMKJhqktTGVEDv2XNqPik30T0KxIoG4A==" saltValue="HEODp4LeZlbjzSs17zSL+Q==" spinCount="100000" sheet="1" objects="1" scenarios="1"/>
  <protectedRanges>
    <protectedRange sqref="D38" name="Range1"/>
  </protectedRanges>
  <mergeCells count="4">
    <mergeCell ref="F33:G33"/>
    <mergeCell ref="B18:I18"/>
    <mergeCell ref="B29:H29"/>
    <mergeCell ref="E37:I41"/>
  </mergeCells>
  <pageMargins left="0.5" right="0.5" top="0.5" bottom="0.5" header="0.3" footer="0.3"/>
  <pageSetup scale="90"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A6B5A-EF59-450E-B937-F42803D67DDA}">
  <sheetPr>
    <tabColor rgb="FF7030A0"/>
    <pageSetUpPr fitToPage="1"/>
  </sheetPr>
  <dimension ref="A1:BX77"/>
  <sheetViews>
    <sheetView topLeftCell="B1" workbookViewId="0">
      <selection activeCell="M58" sqref="M58"/>
    </sheetView>
  </sheetViews>
  <sheetFormatPr baseColWidth="10" defaultColWidth="12.1640625" defaultRowHeight="13" x14ac:dyDescent="0.15"/>
  <cols>
    <col min="1" max="1" width="15.83203125" style="553" hidden="1" customWidth="1"/>
    <col min="2" max="2" width="54.1640625" style="553" bestFit="1" customWidth="1"/>
    <col min="3" max="3" width="14.5" style="606" customWidth="1"/>
    <col min="4" max="4" width="16.5" style="553" bestFit="1" customWidth="1"/>
    <col min="5" max="5" width="16" style="553" bestFit="1" customWidth="1"/>
    <col min="6" max="6" width="15.1640625" style="553" customWidth="1"/>
    <col min="7" max="7" width="12.1640625" style="553" customWidth="1"/>
    <col min="8" max="8" width="27.1640625" style="553" customWidth="1"/>
    <col min="9" max="9" width="14.83203125" style="553" bestFit="1" customWidth="1"/>
    <col min="10" max="11" width="14.5" style="553" bestFit="1" customWidth="1"/>
    <col min="12" max="12" width="13.83203125" style="553" customWidth="1"/>
    <col min="13" max="13" width="15.1640625" style="553" customWidth="1"/>
    <col min="14" max="16" width="13.1640625" style="553" customWidth="1"/>
    <col min="17" max="17" width="12.1640625" style="553" customWidth="1"/>
    <col min="18" max="22" width="12.83203125" style="553" bestFit="1" customWidth="1"/>
    <col min="23" max="23" width="14" style="553" bestFit="1" customWidth="1"/>
    <col min="24" max="33" width="12.83203125" style="553" bestFit="1" customWidth="1"/>
    <col min="34" max="34" width="16.1640625" style="553" bestFit="1" customWidth="1"/>
    <col min="35" max="16384" width="12.1640625" style="553"/>
  </cols>
  <sheetData>
    <row r="1" spans="2:24" x14ac:dyDescent="0.15">
      <c r="B1" s="552" t="str">
        <f>+Proforma!C1</f>
        <v>Timberline Estates - 14876 Washington Road, West Burlington, IA 52655</v>
      </c>
      <c r="C1" s="905" t="str">
        <f>HYPERLINK("http://maps.google.com/maps?q="&amp;S1,"View on Google Map")</f>
        <v>View on Google Map</v>
      </c>
      <c r="D1" s="905"/>
      <c r="S1" s="554" t="str">
        <f>RIGHT(B1,LEN(B1)-SEARCH("-",B1))</f>
        <v xml:space="preserve"> 14876 Washington Road, West Burlington, IA 52655</v>
      </c>
      <c r="T1" s="554" t="str">
        <f>LEFT(B1,FIND("-",B1)-1)</f>
        <v xml:space="preserve">Timberline Estates </v>
      </c>
      <c r="U1" s="554" t="s">
        <v>73</v>
      </c>
      <c r="V1" s="554"/>
      <c r="W1" s="554"/>
    </row>
    <row r="2" spans="2:24" x14ac:dyDescent="0.15">
      <c r="C2" s="555"/>
      <c r="S2" s="554"/>
      <c r="T2" s="554"/>
      <c r="U2" s="554"/>
      <c r="V2" s="554"/>
      <c r="W2" s="554"/>
    </row>
    <row r="3" spans="2:24" x14ac:dyDescent="0.15">
      <c r="B3" s="556" t="s">
        <v>76</v>
      </c>
      <c r="C3" s="556"/>
      <c r="D3" s="557" t="s">
        <v>77</v>
      </c>
      <c r="H3" s="556" t="s">
        <v>78</v>
      </c>
      <c r="I3" s="556"/>
      <c r="J3" s="556"/>
      <c r="K3" s="556"/>
      <c r="L3" s="556"/>
      <c r="M3" s="556"/>
      <c r="N3" s="558"/>
      <c r="O3" s="552"/>
      <c r="S3" s="554"/>
      <c r="T3" s="554"/>
      <c r="U3" s="554"/>
      <c r="V3" s="554"/>
      <c r="W3" s="554"/>
    </row>
    <row r="4" spans="2:24" x14ac:dyDescent="0.15">
      <c r="B4" s="559" t="s">
        <v>43</v>
      </c>
      <c r="C4" s="560">
        <f>+Purchase_Price</f>
        <v>4503406</v>
      </c>
      <c r="D4" s="561">
        <f>C4/$C$10</f>
        <v>16199.302158273382</v>
      </c>
      <c r="H4" s="553" t="s">
        <v>83</v>
      </c>
      <c r="I4" s="156">
        <v>0.05</v>
      </c>
      <c r="L4" s="562" t="s">
        <v>80</v>
      </c>
      <c r="M4" s="563">
        <v>2020</v>
      </c>
      <c r="N4" s="558"/>
      <c r="S4" s="554">
        <v>0</v>
      </c>
      <c r="T4" s="564">
        <v>2017</v>
      </c>
      <c r="U4" s="554">
        <v>0</v>
      </c>
      <c r="V4" s="554">
        <v>1</v>
      </c>
      <c r="W4" s="554">
        <v>2</v>
      </c>
      <c r="X4" s="553">
        <v>4</v>
      </c>
    </row>
    <row r="5" spans="2:24" x14ac:dyDescent="0.15">
      <c r="B5" s="565"/>
      <c r="C5" s="716"/>
      <c r="D5" s="561"/>
      <c r="H5" s="553" t="s">
        <v>87</v>
      </c>
      <c r="I5" s="158">
        <v>1750</v>
      </c>
      <c r="S5" s="554">
        <v>1</v>
      </c>
      <c r="T5" s="564" t="s">
        <v>81</v>
      </c>
      <c r="U5" s="554"/>
      <c r="V5" s="554"/>
      <c r="W5" s="554"/>
    </row>
    <row r="6" spans="2:24" x14ac:dyDescent="0.15">
      <c r="B6" s="566" t="s">
        <v>65</v>
      </c>
      <c r="C6" s="567" t="s">
        <v>48</v>
      </c>
      <c r="D6" s="567" t="s">
        <v>101</v>
      </c>
      <c r="E6" s="567" t="s">
        <v>102</v>
      </c>
      <c r="F6" s="567" t="s">
        <v>103</v>
      </c>
      <c r="H6" s="553" t="s">
        <v>95</v>
      </c>
      <c r="I6" s="158">
        <v>250</v>
      </c>
      <c r="J6" s="568" t="s">
        <v>96</v>
      </c>
      <c r="S6" s="554">
        <v>2</v>
      </c>
      <c r="T6" s="564" t="s">
        <v>89</v>
      </c>
      <c r="U6" s="554"/>
      <c r="V6" s="554"/>
      <c r="W6" s="554"/>
    </row>
    <row r="7" spans="2:24" x14ac:dyDescent="0.15">
      <c r="B7" s="559" t="s">
        <v>471</v>
      </c>
      <c r="C7" s="558">
        <f>+Proforma!D14</f>
        <v>207</v>
      </c>
      <c r="D7" s="558">
        <f>+Proforma!E14</f>
        <v>107</v>
      </c>
      <c r="E7" s="558">
        <f>C7-D7</f>
        <v>100</v>
      </c>
      <c r="F7" s="569">
        <f>E7/C7</f>
        <v>0.48309178743961351</v>
      </c>
      <c r="S7" s="554">
        <v>4</v>
      </c>
      <c r="T7" s="564" t="s">
        <v>93</v>
      </c>
      <c r="U7" s="554"/>
      <c r="V7" s="554"/>
      <c r="W7" s="554"/>
    </row>
    <row r="8" spans="2:24" x14ac:dyDescent="0.15">
      <c r="B8" s="559" t="s">
        <v>472</v>
      </c>
      <c r="C8" s="558">
        <f>+Proforma!D15</f>
        <v>30</v>
      </c>
      <c r="D8" s="558">
        <f>+Proforma!E15</f>
        <v>6</v>
      </c>
      <c r="E8" s="558">
        <f>C8-D8</f>
        <v>24</v>
      </c>
      <c r="F8" s="569">
        <f>IF(ISERROR((E8/C8)),"-",(E8/C8))</f>
        <v>0.8</v>
      </c>
    </row>
    <row r="9" spans="2:24" x14ac:dyDescent="0.15">
      <c r="B9" s="570" t="s">
        <v>331</v>
      </c>
      <c r="C9" s="571">
        <f>+Proforma!D16</f>
        <v>41</v>
      </c>
      <c r="D9" s="571">
        <f>+Proforma!E16</f>
        <v>19</v>
      </c>
      <c r="E9" s="571">
        <f>C9-D9</f>
        <v>22</v>
      </c>
      <c r="F9" s="572">
        <f>IF(ISERROR((E9/C9)),"-",(E9/C9))</f>
        <v>0.53658536585365857</v>
      </c>
    </row>
    <row r="10" spans="2:24" x14ac:dyDescent="0.15">
      <c r="B10" s="573" t="s">
        <v>48</v>
      </c>
      <c r="C10" s="574">
        <f>SUM(C7:C9)</f>
        <v>278</v>
      </c>
      <c r="D10" s="574">
        <f>SUM(D7:D9)</f>
        <v>132</v>
      </c>
      <c r="E10" s="558">
        <f t="shared" ref="E10" si="0">C10-D10</f>
        <v>146</v>
      </c>
      <c r="F10" s="717">
        <f>E10/C10</f>
        <v>0.52517985611510787</v>
      </c>
    </row>
    <row r="11" spans="2:24" x14ac:dyDescent="0.15">
      <c r="B11" s="559"/>
      <c r="C11" s="575"/>
      <c r="D11" s="575"/>
      <c r="E11" s="558"/>
    </row>
    <row r="12" spans="2:24" x14ac:dyDescent="0.15">
      <c r="B12" s="576" t="s">
        <v>107</v>
      </c>
      <c r="C12" s="577">
        <v>0</v>
      </c>
      <c r="D12" s="577">
        <v>0</v>
      </c>
      <c r="E12" s="558">
        <f>C12-D12</f>
        <v>0</v>
      </c>
    </row>
    <row r="13" spans="2:24" x14ac:dyDescent="0.15">
      <c r="B13" s="559"/>
      <c r="C13" s="577"/>
      <c r="D13" s="577"/>
      <c r="E13" s="558"/>
    </row>
    <row r="14" spans="2:24" x14ac:dyDescent="0.15">
      <c r="C14" s="555"/>
      <c r="D14" s="555"/>
      <c r="F14" s="578"/>
    </row>
    <row r="15" spans="2:24" x14ac:dyDescent="0.15">
      <c r="B15" s="579" t="s">
        <v>473</v>
      </c>
      <c r="C15" s="580" t="s">
        <v>474</v>
      </c>
      <c r="D15" s="580" t="s">
        <v>475</v>
      </c>
    </row>
    <row r="16" spans="2:24" x14ac:dyDescent="0.15">
      <c r="B16" s="552" t="s">
        <v>138</v>
      </c>
      <c r="C16" s="581"/>
      <c r="D16" s="562"/>
      <c r="E16" s="718"/>
    </row>
    <row r="17" spans="1:13" x14ac:dyDescent="0.15">
      <c r="B17" s="565" t="str">
        <f>B7</f>
        <v xml:space="preserve">MH </v>
      </c>
      <c r="C17" s="719">
        <f>+Proforma!D31</f>
        <v>230</v>
      </c>
      <c r="D17" s="720">
        <f>+Proforma!F31</f>
        <v>245</v>
      </c>
      <c r="I17" s="558"/>
    </row>
    <row r="18" spans="1:13" x14ac:dyDescent="0.15">
      <c r="B18" s="565" t="str">
        <f>B8</f>
        <v>RV</v>
      </c>
      <c r="C18" s="719">
        <f>+Proforma!D32</f>
        <v>212</v>
      </c>
      <c r="D18" s="720">
        <f>+Proforma!F32</f>
        <v>212</v>
      </c>
    </row>
    <row r="19" spans="1:13" x14ac:dyDescent="0.15">
      <c r="B19" s="565" t="str">
        <f>B9</f>
        <v>Other</v>
      </c>
      <c r="C19" s="719">
        <f>+Proforma!D33</f>
        <v>218</v>
      </c>
      <c r="D19" s="720">
        <f>+Proforma!F33</f>
        <v>218</v>
      </c>
    </row>
    <row r="20" spans="1:13" x14ac:dyDescent="0.15">
      <c r="A20" s="558" t="s">
        <v>133</v>
      </c>
      <c r="B20" s="565"/>
      <c r="C20" s="721"/>
      <c r="D20" s="722"/>
    </row>
    <row r="21" spans="1:13" x14ac:dyDescent="0.15">
      <c r="B21" s="579" t="s">
        <v>476</v>
      </c>
      <c r="C21" s="580" t="s">
        <v>474</v>
      </c>
      <c r="D21" s="580" t="s">
        <v>475</v>
      </c>
      <c r="E21" s="582" t="s">
        <v>173</v>
      </c>
    </row>
    <row r="22" spans="1:13" ht="16" x14ac:dyDescent="0.3">
      <c r="B22" s="552" t="s">
        <v>139</v>
      </c>
      <c r="C22" s="583">
        <f>+C45</f>
        <v>2020</v>
      </c>
      <c r="D22" s="584"/>
      <c r="E22" s="718"/>
    </row>
    <row r="23" spans="1:13" x14ac:dyDescent="0.15">
      <c r="B23" s="565" t="str">
        <f>B17</f>
        <v xml:space="preserve">MH </v>
      </c>
      <c r="C23" s="721">
        <f ca="1">OFFSET('IE SUMMARY'!D7,0,MoveCount)</f>
        <v>0</v>
      </c>
      <c r="D23" s="585">
        <f>+D17*C7*12</f>
        <v>608580</v>
      </c>
      <c r="E23" s="718">
        <f>+D23/NoOfSpaces</f>
        <v>2189.1366906474818</v>
      </c>
    </row>
    <row r="24" spans="1:13" x14ac:dyDescent="0.15">
      <c r="B24" s="565" t="str">
        <f>B18</f>
        <v>RV</v>
      </c>
      <c r="C24" s="721">
        <f ca="1">OFFSET('IE SUMMARY'!D8,0,MoveCount)</f>
        <v>0</v>
      </c>
      <c r="D24" s="585">
        <f>+D18*C8*12</f>
        <v>76320</v>
      </c>
      <c r="E24" s="718">
        <f>+D24/NoOfSpaces</f>
        <v>274.53237410071944</v>
      </c>
    </row>
    <row r="25" spans="1:13" x14ac:dyDescent="0.15">
      <c r="B25" s="565" t="str">
        <f>B19</f>
        <v>Other</v>
      </c>
      <c r="C25" s="721">
        <f ca="1">OFFSET('IE SUMMARY'!D9,0,MoveCount)</f>
        <v>0</v>
      </c>
      <c r="D25" s="585">
        <f>+D19*C9*12</f>
        <v>107256</v>
      </c>
      <c r="E25" s="718">
        <f>+D25/NoOfSpaces</f>
        <v>385.8129496402878</v>
      </c>
    </row>
    <row r="26" spans="1:13" x14ac:dyDescent="0.15">
      <c r="B26" s="586"/>
      <c r="C26" s="587"/>
      <c r="D26" s="588"/>
      <c r="E26" s="589"/>
      <c r="F26" s="586"/>
    </row>
    <row r="27" spans="1:13" x14ac:dyDescent="0.15">
      <c r="B27" s="565" t="str">
        <f>B23&amp;" Min Vacancy Rate"</f>
        <v>MH  Min Vacancy Rate</v>
      </c>
      <c r="C27" s="721">
        <f ca="1">OFFSET('IE SUMMARY'!D10,0,MoveCount)</f>
        <v>0</v>
      </c>
      <c r="D27" s="718">
        <f>+Proforma!F40*12</f>
        <v>-294000</v>
      </c>
      <c r="E27" s="718">
        <f>+D27/NoOfSpaces</f>
        <v>-1057.5539568345323</v>
      </c>
    </row>
    <row r="28" spans="1:13" x14ac:dyDescent="0.15">
      <c r="B28" s="565" t="str">
        <f>B24&amp;" Min Vacancy Rate"</f>
        <v>RV Min Vacancy Rate</v>
      </c>
      <c r="C28" s="723"/>
      <c r="D28" s="718">
        <f>+Proforma!F41*12</f>
        <v>-61056</v>
      </c>
      <c r="E28" s="718">
        <f>+D28/NoOfSpaces</f>
        <v>-219.62589928057554</v>
      </c>
      <c r="H28" s="552"/>
      <c r="I28" s="552"/>
      <c r="J28" s="552"/>
    </row>
    <row r="29" spans="1:13" x14ac:dyDescent="0.15">
      <c r="B29" s="565" t="str">
        <f t="shared" ref="B29" si="1">B25&amp;" Min Vacancy Rate"</f>
        <v>Other Min Vacancy Rate</v>
      </c>
      <c r="C29" s="723"/>
      <c r="D29" s="718">
        <f>+Proforma!F42*12</f>
        <v>-56845.680000000008</v>
      </c>
      <c r="E29" s="718">
        <f>+D29/NoOfSpaces</f>
        <v>-204.48086330935254</v>
      </c>
      <c r="H29" s="586"/>
      <c r="I29" s="586"/>
      <c r="J29" s="586"/>
      <c r="K29" s="552"/>
      <c r="L29" s="552"/>
      <c r="M29" s="552"/>
    </row>
    <row r="30" spans="1:13" s="552" customFormat="1" x14ac:dyDescent="0.15">
      <c r="B30" s="842" t="s">
        <v>142</v>
      </c>
      <c r="C30" s="843">
        <f t="shared" ref="C30:E30" ca="1" si="2">SUM(C23:C25)+SUM(C27:C29)</f>
        <v>0</v>
      </c>
      <c r="D30" s="843">
        <f t="shared" si="2"/>
        <v>380254.32</v>
      </c>
      <c r="E30" s="843">
        <f t="shared" si="2"/>
        <v>1367.8212949640285</v>
      </c>
      <c r="H30" s="553"/>
      <c r="I30" s="553"/>
      <c r="J30" s="553"/>
      <c r="K30" s="586"/>
      <c r="L30" s="586"/>
      <c r="M30" s="586"/>
    </row>
    <row r="31" spans="1:13" s="586" customFormat="1" ht="7" customHeight="1" x14ac:dyDescent="0.15">
      <c r="B31" s="590"/>
      <c r="C31" s="591"/>
      <c r="D31" s="718"/>
      <c r="E31" s="592"/>
      <c r="F31" s="553"/>
      <c r="H31" s="553"/>
      <c r="I31" s="553"/>
      <c r="J31" s="553"/>
      <c r="K31" s="553"/>
      <c r="L31" s="553"/>
      <c r="M31" s="553"/>
    </row>
    <row r="32" spans="1:13" ht="16" x14ac:dyDescent="0.3">
      <c r="B32" s="552" t="s">
        <v>155</v>
      </c>
      <c r="C32" s="593"/>
      <c r="D32" s="594"/>
      <c r="E32" s="595"/>
    </row>
    <row r="33" spans="1:6" x14ac:dyDescent="0.15">
      <c r="B33" s="565" t="str">
        <f>+Proforma!C46</f>
        <v>Electric</v>
      </c>
      <c r="C33" s="596"/>
      <c r="D33" s="724">
        <f>+Proforma!F46*12</f>
        <v>0</v>
      </c>
      <c r="E33" s="718">
        <f t="shared" ref="E33:E38" si="3">+D33/NoOfSpaces</f>
        <v>0</v>
      </c>
    </row>
    <row r="34" spans="1:6" x14ac:dyDescent="0.15">
      <c r="B34" s="565" t="str">
        <f>+Proforma!C47</f>
        <v>Gas / Propane</v>
      </c>
      <c r="C34" s="596"/>
      <c r="D34" s="724">
        <f>+Proforma!F47*12</f>
        <v>0</v>
      </c>
      <c r="E34" s="718">
        <f t="shared" si="3"/>
        <v>0</v>
      </c>
    </row>
    <row r="35" spans="1:6" x14ac:dyDescent="0.15">
      <c r="A35" s="553">
        <v>4101</v>
      </c>
      <c r="B35" s="565" t="str">
        <f>+Proforma!C48</f>
        <v>Trash</v>
      </c>
      <c r="C35" s="596"/>
      <c r="D35" s="724">
        <f>+Proforma!F48*12</f>
        <v>0</v>
      </c>
      <c r="E35" s="718">
        <f t="shared" si="3"/>
        <v>0</v>
      </c>
    </row>
    <row r="36" spans="1:6" x14ac:dyDescent="0.15">
      <c r="B36" s="565" t="str">
        <f>+Proforma!C49</f>
        <v>Sewer</v>
      </c>
      <c r="C36" s="596"/>
      <c r="D36" s="724">
        <f>+Proforma!F49*12</f>
        <v>0</v>
      </c>
      <c r="E36" s="718">
        <f t="shared" si="3"/>
        <v>0</v>
      </c>
    </row>
    <row r="37" spans="1:6" x14ac:dyDescent="0.15">
      <c r="B37" s="565" t="str">
        <f>+Proforma!C50</f>
        <v>Water</v>
      </c>
      <c r="C37" s="596"/>
      <c r="D37" s="724">
        <f>+Proforma!F50*12</f>
        <v>74139</v>
      </c>
      <c r="E37" s="718">
        <f t="shared" si="3"/>
        <v>266.6870503597122</v>
      </c>
    </row>
    <row r="38" spans="1:6" x14ac:dyDescent="0.15">
      <c r="A38" s="558">
        <v>4403</v>
      </c>
      <c r="B38" s="565" t="str">
        <f>+Proforma!C51</f>
        <v>Other, misc.</v>
      </c>
      <c r="C38" s="597"/>
      <c r="D38" s="725">
        <f>+Proforma!F51*12</f>
        <v>0</v>
      </c>
      <c r="E38" s="718">
        <f t="shared" si="3"/>
        <v>0</v>
      </c>
    </row>
    <row r="39" spans="1:6" x14ac:dyDescent="0.15">
      <c r="A39" s="558">
        <v>4401</v>
      </c>
      <c r="B39" s="844" t="s">
        <v>163</v>
      </c>
      <c r="C39" s="599">
        <f ca="1">OFFSET('IE SUMMARY'!D21,0,MoveCount)</f>
        <v>0</v>
      </c>
      <c r="D39" s="845">
        <f>SUM(D33:D38)</f>
        <v>74139</v>
      </c>
      <c r="E39" s="845">
        <f t="shared" ref="E39" si="4">SUM(E33:E38)</f>
        <v>266.6870503597122</v>
      </c>
    </row>
    <row r="40" spans="1:6" x14ac:dyDescent="0.15">
      <c r="A40" s="558">
        <v>4404</v>
      </c>
      <c r="B40" s="598" t="s">
        <v>477</v>
      </c>
      <c r="C40" s="599">
        <f ca="1">OFFSET('IE SUMMARY'!D24,0,MoveCount)</f>
        <v>0</v>
      </c>
      <c r="D40" s="718">
        <f>+Proforma!F53*12</f>
        <v>0</v>
      </c>
      <c r="E40" s="718"/>
    </row>
    <row r="41" spans="1:6" ht="7" customHeight="1" x14ac:dyDescent="0.15">
      <c r="A41" s="558"/>
      <c r="B41" s="598"/>
      <c r="C41" s="599"/>
      <c r="D41" s="718"/>
      <c r="E41" s="718"/>
    </row>
    <row r="42" spans="1:6" ht="14" thickBot="1" x14ac:dyDescent="0.2">
      <c r="A42" s="558">
        <v>4405</v>
      </c>
      <c r="B42" s="846" t="s">
        <v>478</v>
      </c>
      <c r="C42" s="847">
        <f ca="1">C39+C30+C40</f>
        <v>0</v>
      </c>
      <c r="D42" s="847">
        <f t="shared" ref="D42:E42" si="5">D39+D30+D40</f>
        <v>454393.32</v>
      </c>
      <c r="E42" s="847">
        <f t="shared" si="5"/>
        <v>1634.5083453237407</v>
      </c>
    </row>
    <row r="43" spans="1:6" ht="14" thickTop="1" x14ac:dyDescent="0.15">
      <c r="A43" s="558">
        <v>4402</v>
      </c>
      <c r="B43" s="552"/>
      <c r="C43" s="600"/>
      <c r="D43" s="600"/>
      <c r="E43" s="600"/>
    </row>
    <row r="44" spans="1:6" x14ac:dyDescent="0.15">
      <c r="A44" s="558">
        <v>4998</v>
      </c>
      <c r="B44" s="579" t="s">
        <v>479</v>
      </c>
      <c r="C44" s="580" t="s">
        <v>474</v>
      </c>
      <c r="D44" s="582" t="s">
        <v>475</v>
      </c>
      <c r="E44" s="582" t="s">
        <v>173</v>
      </c>
    </row>
    <row r="45" spans="1:6" ht="16" x14ac:dyDescent="0.3">
      <c r="B45" s="552"/>
      <c r="C45" s="583">
        <f>M4</f>
        <v>2020</v>
      </c>
      <c r="D45" s="594"/>
      <c r="E45" s="601"/>
    </row>
    <row r="46" spans="1:6" x14ac:dyDescent="0.15">
      <c r="A46" s="558">
        <v>4134</v>
      </c>
      <c r="B46" s="565" t="s">
        <v>480</v>
      </c>
      <c r="C46" s="721">
        <f ca="1">OFFSET('IE SUMMARY'!D32,0,MoveCount)</f>
        <v>0</v>
      </c>
      <c r="D46" s="721">
        <f>+Proforma!E58</f>
        <v>70000</v>
      </c>
      <c r="E46" s="718">
        <f>+D46/$C$10</f>
        <v>251.79856115107913</v>
      </c>
      <c r="F46" s="726"/>
    </row>
    <row r="47" spans="1:6" x14ac:dyDescent="0.15">
      <c r="B47" s="565" t="s">
        <v>175</v>
      </c>
      <c r="C47" s="721">
        <f ca="1">OFFSET('IE SUMMARY'!D33,0,MoveCount)</f>
        <v>0</v>
      </c>
      <c r="D47" s="721">
        <f>+Proforma!E59</f>
        <v>11900</v>
      </c>
      <c r="E47" s="718">
        <f t="shared" ref="E47:E69" si="6">+D47/$C$10</f>
        <v>42.805755395683455</v>
      </c>
      <c r="F47" s="726"/>
    </row>
    <row r="48" spans="1:6" x14ac:dyDescent="0.15">
      <c r="B48" s="565" t="s">
        <v>176</v>
      </c>
      <c r="C48" s="721">
        <f ca="1">OFFSET('IE SUMMARY'!D34,0,MoveCount)</f>
        <v>0</v>
      </c>
      <c r="D48" s="721">
        <f>+Proforma!E60</f>
        <v>4200</v>
      </c>
      <c r="E48" s="718">
        <f t="shared" si="6"/>
        <v>15.107913669064748</v>
      </c>
      <c r="F48" s="726"/>
    </row>
    <row r="49" spans="1:11" x14ac:dyDescent="0.15">
      <c r="B49" s="565" t="s">
        <v>157</v>
      </c>
      <c r="C49" s="721">
        <f ca="1">OFFSET('IE SUMMARY'!D35,0,MoveCount)</f>
        <v>0</v>
      </c>
      <c r="D49" s="721">
        <f>+Proforma!E61</f>
        <v>23913.9</v>
      </c>
      <c r="E49" s="718">
        <f t="shared" si="6"/>
        <v>86.021223021582742</v>
      </c>
      <c r="F49" s="726"/>
      <c r="H49" s="726"/>
      <c r="I49" s="726"/>
      <c r="J49" s="726"/>
    </row>
    <row r="50" spans="1:11" x14ac:dyDescent="0.15">
      <c r="B50" s="565" t="s">
        <v>177</v>
      </c>
      <c r="C50" s="721">
        <f ca="1">OFFSET('IE SUMMARY'!D36,0,MoveCount)</f>
        <v>0</v>
      </c>
      <c r="D50" s="721">
        <f>+Proforma!E62</f>
        <v>2977.38</v>
      </c>
      <c r="E50" s="718">
        <f t="shared" si="6"/>
        <v>10.71</v>
      </c>
      <c r="F50" s="726"/>
      <c r="H50" s="726"/>
      <c r="I50" s="726"/>
      <c r="J50" s="726"/>
      <c r="K50" s="726"/>
    </row>
    <row r="51" spans="1:11" x14ac:dyDescent="0.15">
      <c r="A51" s="558">
        <v>5701</v>
      </c>
      <c r="B51" s="565" t="s">
        <v>159</v>
      </c>
      <c r="C51" s="721">
        <f ca="1">OFFSET('IE SUMMARY'!D37,0,MoveCount)</f>
        <v>0</v>
      </c>
      <c r="D51" s="721">
        <f>+Proforma!E63</f>
        <v>13461.960000000001</v>
      </c>
      <c r="E51" s="718">
        <f t="shared" si="6"/>
        <v>48.42431654676259</v>
      </c>
      <c r="F51" s="726"/>
      <c r="G51" s="726"/>
      <c r="H51" s="726"/>
      <c r="I51" s="726"/>
      <c r="J51" s="726"/>
      <c r="K51" s="726"/>
    </row>
    <row r="52" spans="1:11" x14ac:dyDescent="0.15">
      <c r="A52" s="558">
        <v>5305</v>
      </c>
      <c r="B52" s="565" t="s">
        <v>178</v>
      </c>
      <c r="C52" s="721">
        <f ca="1">OFFSET('IE SUMMARY'!D38,0,MoveCount)</f>
        <v>0</v>
      </c>
      <c r="D52" s="721">
        <f>+Proforma!E64</f>
        <v>15808.98</v>
      </c>
      <c r="E52" s="718">
        <f t="shared" si="6"/>
        <v>56.866834532374099</v>
      </c>
      <c r="F52" s="726"/>
      <c r="G52" s="726"/>
      <c r="H52" s="726"/>
      <c r="I52" s="726"/>
      <c r="J52" s="726"/>
      <c r="K52" s="726"/>
    </row>
    <row r="53" spans="1:11" x14ac:dyDescent="0.15">
      <c r="A53" s="558">
        <v>5306</v>
      </c>
      <c r="B53" s="565" t="s">
        <v>179</v>
      </c>
      <c r="C53" s="721">
        <f ca="1">OFFSET('IE SUMMARY'!D39,0,MoveCount)</f>
        <v>0</v>
      </c>
      <c r="D53" s="721">
        <f ca="1">+Proforma!E65</f>
        <v>0</v>
      </c>
      <c r="E53" s="718">
        <f t="shared" ca="1" si="6"/>
        <v>0</v>
      </c>
      <c r="F53" s="726"/>
      <c r="G53" s="726"/>
      <c r="H53" s="726"/>
      <c r="I53" s="726"/>
      <c r="J53" s="726"/>
      <c r="K53" s="726"/>
    </row>
    <row r="54" spans="1:11" x14ac:dyDescent="0.15">
      <c r="A54" s="558">
        <v>5404</v>
      </c>
      <c r="B54" s="565" t="s">
        <v>180</v>
      </c>
      <c r="C54" s="721">
        <f ca="1">OFFSET('IE SUMMARY'!D40,0,MoveCount)</f>
        <v>0</v>
      </c>
      <c r="D54" s="721">
        <f>+Proforma!E66</f>
        <v>1080</v>
      </c>
      <c r="E54" s="718">
        <f t="shared" si="6"/>
        <v>3.8848920863309351</v>
      </c>
      <c r="F54" s="726"/>
      <c r="G54" s="726"/>
      <c r="H54" s="726"/>
      <c r="I54" s="726"/>
      <c r="J54" s="726"/>
      <c r="K54" s="726"/>
    </row>
    <row r="55" spans="1:11" x14ac:dyDescent="0.15">
      <c r="A55" s="558">
        <v>5401</v>
      </c>
      <c r="B55" s="565" t="s">
        <v>181</v>
      </c>
      <c r="C55" s="721">
        <f ca="1">OFFSET('IE SUMMARY'!D41,0,MoveCount)</f>
        <v>0</v>
      </c>
      <c r="D55" s="721">
        <f>+Proforma!E67</f>
        <v>2500</v>
      </c>
      <c r="E55" s="718">
        <f t="shared" si="6"/>
        <v>8.9928057553956826</v>
      </c>
      <c r="F55" s="726"/>
      <c r="G55" s="726"/>
      <c r="H55" s="726"/>
      <c r="I55" s="726"/>
      <c r="J55" s="726"/>
      <c r="K55" s="726"/>
    </row>
    <row r="56" spans="1:11" x14ac:dyDescent="0.15">
      <c r="A56" s="558">
        <v>5405</v>
      </c>
      <c r="B56" s="565" t="str">
        <f>"Maintenance / Capital Reserve ("&amp;TEXT(I6,"$0")&amp;" per space / year)"</f>
        <v>Maintenance / Capital Reserve ($250 per space / year)</v>
      </c>
      <c r="C56" s="721">
        <f ca="1">OFFSET('IE SUMMARY'!D42,0,MoveCount)</f>
        <v>0</v>
      </c>
      <c r="D56" s="721">
        <f>+C10*Maintenance___Capital_Reserve</f>
        <v>69500</v>
      </c>
      <c r="E56" s="718">
        <f t="shared" si="6"/>
        <v>250</v>
      </c>
      <c r="F56" s="726"/>
      <c r="G56" s="726"/>
      <c r="H56" s="726"/>
      <c r="I56" s="726"/>
      <c r="J56" s="726"/>
      <c r="K56" s="726"/>
    </row>
    <row r="57" spans="1:11" x14ac:dyDescent="0.15">
      <c r="A57" s="558">
        <v>5403</v>
      </c>
      <c r="B57" s="565" t="s">
        <v>182</v>
      </c>
      <c r="C57" s="721">
        <f ca="1">OFFSET('IE SUMMARY'!D43,0,MoveCount)</f>
        <v>0</v>
      </c>
      <c r="D57" s="721">
        <f>+Proforma!E69</f>
        <v>10000</v>
      </c>
      <c r="E57" s="718">
        <f t="shared" si="6"/>
        <v>35.97122302158273</v>
      </c>
      <c r="F57" s="726"/>
      <c r="G57" s="726"/>
      <c r="H57" s="726"/>
      <c r="I57" s="726"/>
      <c r="J57" s="726"/>
      <c r="K57" s="726"/>
    </row>
    <row r="58" spans="1:11" x14ac:dyDescent="0.15">
      <c r="A58" s="558">
        <v>5402</v>
      </c>
      <c r="B58" s="565" t="s">
        <v>183</v>
      </c>
      <c r="C58" s="721">
        <f ca="1">OFFSET('IE SUMMARY'!D44,0,MoveCount)</f>
        <v>0</v>
      </c>
      <c r="D58" s="721">
        <f>+Proforma!E70</f>
        <v>8853.6</v>
      </c>
      <c r="E58" s="718">
        <f t="shared" si="6"/>
        <v>31.84748201438849</v>
      </c>
      <c r="F58" s="726"/>
      <c r="G58" s="726"/>
      <c r="H58" s="726"/>
      <c r="I58" s="726"/>
      <c r="J58" s="726"/>
      <c r="K58" s="726"/>
    </row>
    <row r="59" spans="1:11" x14ac:dyDescent="0.15">
      <c r="A59" s="558">
        <v>5603</v>
      </c>
      <c r="B59" s="565" t="s">
        <v>481</v>
      </c>
      <c r="C59" s="721">
        <f ca="1">OFFSET('IE SUMMARY'!D45,0,MoveCount)</f>
        <v>0</v>
      </c>
      <c r="D59" s="721">
        <f>+Proforma!E71</f>
        <v>28355.55</v>
      </c>
      <c r="E59" s="718">
        <f t="shared" si="6"/>
        <v>101.99838129496402</v>
      </c>
      <c r="F59" s="726"/>
      <c r="G59" s="726"/>
      <c r="H59" s="726"/>
      <c r="I59" s="726"/>
      <c r="J59" s="726"/>
      <c r="K59" s="726"/>
    </row>
    <row r="60" spans="1:11" x14ac:dyDescent="0.15">
      <c r="A60" s="558">
        <v>5020</v>
      </c>
      <c r="B60" s="565" t="s">
        <v>185</v>
      </c>
      <c r="C60" s="721">
        <f ca="1">OFFSET('IE SUMMARY'!D46,0,MoveCount)</f>
        <v>0</v>
      </c>
      <c r="D60" s="721">
        <f>+Proforma!E72</f>
        <v>20000</v>
      </c>
      <c r="E60" s="718">
        <f t="shared" si="6"/>
        <v>71.942446043165461</v>
      </c>
      <c r="F60" s="726"/>
      <c r="G60" s="726"/>
      <c r="H60" s="726"/>
      <c r="I60" s="726"/>
      <c r="J60" s="726"/>
      <c r="K60" s="726"/>
    </row>
    <row r="61" spans="1:11" x14ac:dyDescent="0.15">
      <c r="A61" s="558">
        <v>5104</v>
      </c>
      <c r="B61" s="565" t="s">
        <v>186</v>
      </c>
      <c r="C61" s="721">
        <f ca="1">OFFSET('IE SUMMARY'!D47,0,MoveCount)</f>
        <v>0</v>
      </c>
      <c r="D61" s="721">
        <f>+Proforma!E73</f>
        <v>1095</v>
      </c>
      <c r="E61" s="718">
        <f t="shared" si="6"/>
        <v>3.9388489208633093</v>
      </c>
      <c r="F61" s="726"/>
      <c r="G61" s="726"/>
      <c r="H61" s="726"/>
      <c r="I61" s="726"/>
      <c r="J61" s="726"/>
      <c r="K61" s="726"/>
    </row>
    <row r="62" spans="1:11" x14ac:dyDescent="0.15">
      <c r="A62" s="558">
        <v>5109</v>
      </c>
      <c r="B62" s="565" t="s">
        <v>187</v>
      </c>
      <c r="C62" s="721">
        <f ca="1">OFFSET('IE SUMMARY'!D48,0,MoveCount)</f>
        <v>0</v>
      </c>
      <c r="D62" s="721">
        <f>+Proforma!E74</f>
        <v>2500</v>
      </c>
      <c r="E62" s="718">
        <f t="shared" si="6"/>
        <v>8.9928057553956826</v>
      </c>
      <c r="F62" s="726"/>
      <c r="G62" s="726"/>
      <c r="H62" s="726"/>
      <c r="I62" s="726"/>
      <c r="J62" s="726"/>
      <c r="K62" s="726"/>
    </row>
    <row r="63" spans="1:11" x14ac:dyDescent="0.15">
      <c r="A63" s="558">
        <v>5200</v>
      </c>
      <c r="B63" s="565" t="s">
        <v>188</v>
      </c>
      <c r="C63" s="721">
        <f ca="1">OFFSET('IE SUMMARY'!D49,0,MoveCount)</f>
        <v>0</v>
      </c>
      <c r="D63" s="721">
        <f>+Proforma!E75</f>
        <v>1700</v>
      </c>
      <c r="E63" s="718">
        <f t="shared" si="6"/>
        <v>6.1151079136690649</v>
      </c>
      <c r="F63" s="726"/>
      <c r="G63" s="726"/>
      <c r="H63" s="726"/>
      <c r="I63" s="726"/>
      <c r="J63" s="726"/>
      <c r="K63" s="726"/>
    </row>
    <row r="64" spans="1:11" x14ac:dyDescent="0.15">
      <c r="A64" s="558">
        <v>5301</v>
      </c>
      <c r="B64" s="565" t="s">
        <v>189</v>
      </c>
      <c r="C64" s="721">
        <f ca="1">OFFSET('IE SUMMARY'!D50,0,MoveCount)</f>
        <v>0</v>
      </c>
      <c r="D64" s="721">
        <f>+Proforma!E76</f>
        <v>0</v>
      </c>
      <c r="E64" s="718">
        <f t="shared" si="6"/>
        <v>0</v>
      </c>
      <c r="F64" s="726"/>
      <c r="G64" s="726"/>
      <c r="H64" s="726"/>
      <c r="I64" s="726"/>
      <c r="J64" s="726"/>
      <c r="K64" s="726"/>
    </row>
    <row r="65" spans="1:76" x14ac:dyDescent="0.15">
      <c r="A65" s="558">
        <v>5053</v>
      </c>
      <c r="B65" s="565" t="s">
        <v>190</v>
      </c>
      <c r="C65" s="721">
        <f ca="1">OFFSET('IE SUMMARY'!D51,0,MoveCount)</f>
        <v>0</v>
      </c>
      <c r="D65" s="721">
        <f>+Proforma!E77</f>
        <v>2450</v>
      </c>
      <c r="E65" s="718">
        <f t="shared" si="6"/>
        <v>8.8129496402877692</v>
      </c>
      <c r="F65" s="726"/>
      <c r="G65" s="726"/>
      <c r="H65" s="726"/>
      <c r="I65" s="726"/>
      <c r="J65" s="726"/>
      <c r="K65" s="726"/>
    </row>
    <row r="66" spans="1:76" x14ac:dyDescent="0.15">
      <c r="A66" s="558">
        <v>5604</v>
      </c>
      <c r="B66" s="565" t="s">
        <v>191</v>
      </c>
      <c r="C66" s="721">
        <f ca="1">OFFSET('IE SUMMARY'!D52,0,MoveCount)</f>
        <v>0</v>
      </c>
      <c r="D66" s="721">
        <f>+Proforma!E78</f>
        <v>1340.28</v>
      </c>
      <c r="E66" s="718">
        <f t="shared" si="6"/>
        <v>4.8211510791366905</v>
      </c>
      <c r="F66" s="726"/>
      <c r="G66" s="726"/>
      <c r="H66" s="726"/>
      <c r="I66" s="726"/>
      <c r="J66" s="726"/>
      <c r="K66" s="726"/>
    </row>
    <row r="67" spans="1:76" x14ac:dyDescent="0.15">
      <c r="A67" s="558">
        <v>5062</v>
      </c>
      <c r="B67" s="565" t="s">
        <v>192</v>
      </c>
      <c r="C67" s="721">
        <f ca="1">OFFSET('IE SUMMARY'!D53,0,MoveCount)</f>
        <v>0</v>
      </c>
      <c r="D67" s="721">
        <f>+Proforma!E79</f>
        <v>300</v>
      </c>
      <c r="E67" s="718">
        <f t="shared" si="6"/>
        <v>1.079136690647482</v>
      </c>
      <c r="F67" s="726"/>
      <c r="G67" s="726"/>
      <c r="H67" s="726"/>
      <c r="I67" s="726"/>
      <c r="J67" s="726"/>
      <c r="K67" s="726"/>
    </row>
    <row r="68" spans="1:76" x14ac:dyDescent="0.15">
      <c r="A68" s="558">
        <v>5302</v>
      </c>
      <c r="B68" s="565" t="s">
        <v>193</v>
      </c>
      <c r="C68" s="721">
        <f ca="1">OFFSET('IE SUMMARY'!D54,0,MoveCount)</f>
        <v>0</v>
      </c>
      <c r="D68" s="721">
        <f>+Proforma!E80</f>
        <v>1000</v>
      </c>
      <c r="E68" s="718">
        <f t="shared" si="6"/>
        <v>3.5971223021582732</v>
      </c>
      <c r="F68" s="726"/>
      <c r="G68" s="726"/>
      <c r="H68" s="726"/>
      <c r="I68" s="726"/>
      <c r="J68" s="726"/>
      <c r="K68" s="726"/>
    </row>
    <row r="69" spans="1:76" x14ac:dyDescent="0.15">
      <c r="A69" s="558">
        <v>5001</v>
      </c>
      <c r="B69" s="565" t="str">
        <f>"Professional Mgmt ("&amp;TEXT(MgmtFeeLimit,"$0,0")&amp;"/mo or "&amp;TEXT(MgmtFee,"0.0%"&amp;")")</f>
        <v>Professional Mgmt ($1,750/mo or 5.0%)</v>
      </c>
      <c r="C69" s="721">
        <f ca="1">OFFSET('IE SUMMARY'!D55,0,MoveCount)</f>
        <v>0</v>
      </c>
      <c r="D69" s="721">
        <f>IF(D42*I4&gt;I5,D42*I4,I5)</f>
        <v>22719.666000000001</v>
      </c>
      <c r="E69" s="727">
        <f t="shared" si="6"/>
        <v>81.725417266187051</v>
      </c>
      <c r="F69" s="726"/>
      <c r="G69" s="726"/>
      <c r="H69" s="726"/>
      <c r="I69" s="726"/>
      <c r="J69" s="726"/>
      <c r="K69" s="726"/>
    </row>
    <row r="70" spans="1:76" ht="14" thickBot="1" x14ac:dyDescent="0.2">
      <c r="A70" s="558">
        <v>5061</v>
      </c>
      <c r="B70" s="848" t="s">
        <v>482</v>
      </c>
      <c r="C70" s="847">
        <f ca="1">SUM(C46:C69)</f>
        <v>0</v>
      </c>
      <c r="D70" s="847">
        <f t="shared" ref="D70:E70" ca="1" si="7">SUM(D46:D69)</f>
        <v>315656.31600000005</v>
      </c>
      <c r="E70" s="847">
        <f t="shared" ca="1" si="7"/>
        <v>1135.4543741007194</v>
      </c>
      <c r="G70" s="726"/>
      <c r="H70" s="726"/>
      <c r="I70" s="726"/>
      <c r="J70" s="726"/>
      <c r="K70" s="726"/>
    </row>
    <row r="71" spans="1:76" ht="14" thickTop="1" x14ac:dyDescent="0.15">
      <c r="A71" s="558">
        <v>5304</v>
      </c>
      <c r="B71" s="602" t="s">
        <v>483</v>
      </c>
      <c r="C71" s="603" t="e">
        <f ca="1">+C70/C42</f>
        <v>#DIV/0!</v>
      </c>
      <c r="D71" s="603">
        <f t="shared" ref="D71:E71" ca="1" si="8">+D70/D42</f>
        <v>0.69467640061257951</v>
      </c>
      <c r="E71" s="603">
        <f t="shared" ca="1" si="8"/>
        <v>0.69467640061257951</v>
      </c>
      <c r="G71" s="726"/>
      <c r="K71" s="726"/>
    </row>
    <row r="72" spans="1:76" ht="7" customHeight="1" x14ac:dyDescent="0.15">
      <c r="A72" s="558">
        <v>5000</v>
      </c>
      <c r="C72" s="581"/>
      <c r="D72" s="727"/>
      <c r="E72" s="718"/>
      <c r="F72" s="604"/>
      <c r="G72" s="726"/>
    </row>
    <row r="73" spans="1:76" ht="14" thickBot="1" x14ac:dyDescent="0.2">
      <c r="B73" s="846" t="s">
        <v>484</v>
      </c>
      <c r="C73" s="849">
        <f ca="1">+C42-C70</f>
        <v>0</v>
      </c>
      <c r="D73" s="849">
        <f t="shared" ref="D73:E73" ca="1" si="9">+D42-D70</f>
        <v>138737.00399999996</v>
      </c>
      <c r="E73" s="849">
        <f t="shared" ca="1" si="9"/>
        <v>499.05397122302134</v>
      </c>
      <c r="F73" s="604"/>
      <c r="H73" s="604"/>
      <c r="I73" s="604"/>
      <c r="J73" s="604"/>
    </row>
    <row r="74" spans="1:76" ht="14" thickTop="1" x14ac:dyDescent="0.15">
      <c r="B74" s="605"/>
      <c r="C74" s="553"/>
      <c r="E74" s="728"/>
      <c r="F74" s="729"/>
      <c r="H74" s="604"/>
      <c r="I74" s="604"/>
      <c r="J74" s="604"/>
      <c r="K74" s="604"/>
      <c r="L74" s="604"/>
      <c r="M74" s="604"/>
    </row>
    <row r="75" spans="1:76" x14ac:dyDescent="0.15">
      <c r="B75" s="552" t="s">
        <v>485</v>
      </c>
      <c r="D75" s="607">
        <f>+Proforma!N25</f>
        <v>54225.599999999999</v>
      </c>
      <c r="G75" s="604"/>
      <c r="H75" s="729"/>
      <c r="I75" s="729"/>
      <c r="J75" s="729"/>
      <c r="K75" s="604"/>
      <c r="L75" s="604"/>
      <c r="M75" s="604"/>
      <c r="N75" s="604"/>
      <c r="O75" s="604"/>
      <c r="P75" s="604"/>
      <c r="Q75" s="604"/>
      <c r="R75" s="604"/>
      <c r="S75" s="604"/>
      <c r="T75" s="604"/>
      <c r="U75" s="604"/>
      <c r="V75" s="604"/>
      <c r="W75" s="604"/>
      <c r="X75" s="604"/>
      <c r="Y75" s="604"/>
      <c r="Z75" s="604"/>
      <c r="AA75" s="604"/>
      <c r="AB75" s="604"/>
      <c r="AC75" s="604"/>
      <c r="AD75" s="604"/>
      <c r="AE75" s="604"/>
      <c r="AF75" s="604"/>
      <c r="AG75" s="604"/>
      <c r="AH75" s="604"/>
      <c r="AI75" s="604"/>
      <c r="AJ75" s="604"/>
      <c r="AK75" s="604"/>
      <c r="AL75" s="604"/>
      <c r="AM75" s="604"/>
      <c r="AN75" s="604"/>
      <c r="AO75" s="604"/>
      <c r="AP75" s="604"/>
      <c r="AQ75" s="604"/>
      <c r="AR75" s="604"/>
      <c r="AS75" s="604"/>
      <c r="AT75" s="604"/>
      <c r="AU75" s="604"/>
    </row>
    <row r="76" spans="1:76" x14ac:dyDescent="0.15">
      <c r="G76" s="604"/>
      <c r="K76" s="729"/>
      <c r="L76" s="729"/>
      <c r="M76" s="729"/>
      <c r="N76" s="604"/>
      <c r="O76" s="604"/>
      <c r="P76" s="604"/>
      <c r="Q76" s="604"/>
      <c r="R76" s="604"/>
      <c r="S76" s="604"/>
      <c r="T76" s="604"/>
      <c r="U76" s="604"/>
      <c r="V76" s="604"/>
      <c r="W76" s="604"/>
      <c r="X76" s="604"/>
      <c r="Y76" s="604"/>
      <c r="Z76" s="604"/>
      <c r="AA76" s="604"/>
      <c r="AB76" s="604"/>
      <c r="AC76" s="604"/>
      <c r="AD76" s="604"/>
      <c r="AE76" s="604"/>
      <c r="AF76" s="604"/>
      <c r="AG76" s="604"/>
      <c r="AH76" s="604"/>
      <c r="AI76" s="604"/>
      <c r="AJ76" s="604"/>
      <c r="AK76" s="604"/>
      <c r="AL76" s="604"/>
      <c r="AM76" s="604"/>
      <c r="AN76" s="604"/>
      <c r="AO76" s="604"/>
      <c r="AP76" s="604"/>
      <c r="AQ76" s="604"/>
      <c r="AR76" s="604"/>
      <c r="AS76" s="604"/>
      <c r="AT76" s="604"/>
      <c r="AU76" s="604"/>
    </row>
    <row r="77" spans="1:76" x14ac:dyDescent="0.15">
      <c r="G77" s="729"/>
      <c r="N77" s="729"/>
      <c r="O77" s="729"/>
      <c r="P77" s="729"/>
      <c r="Q77" s="729"/>
      <c r="R77" s="604"/>
      <c r="S77" s="604"/>
      <c r="T77" s="604"/>
      <c r="U77" s="604"/>
      <c r="V77" s="604"/>
      <c r="W77" s="604"/>
      <c r="X77" s="604"/>
      <c r="Y77" s="604"/>
      <c r="Z77" s="604"/>
      <c r="AA77" s="604"/>
      <c r="AB77" s="604"/>
      <c r="AC77" s="604"/>
      <c r="AD77" s="604"/>
      <c r="AE77" s="604"/>
      <c r="AF77" s="604"/>
      <c r="AG77" s="604"/>
      <c r="AH77" s="604"/>
      <c r="AI77" s="604"/>
      <c r="AJ77" s="604"/>
      <c r="AK77" s="604"/>
      <c r="AL77" s="604"/>
      <c r="AM77" s="604"/>
      <c r="AN77" s="604"/>
      <c r="AO77" s="604"/>
      <c r="AP77" s="604"/>
      <c r="AQ77" s="604"/>
      <c r="AR77" s="604"/>
      <c r="AS77" s="604"/>
      <c r="AT77" s="604"/>
      <c r="AU77" s="604"/>
      <c r="AV77" s="604"/>
      <c r="AW77" s="604"/>
      <c r="AX77" s="604"/>
      <c r="AY77" s="604"/>
      <c r="AZ77" s="604"/>
      <c r="BA77" s="604"/>
      <c r="BB77" s="604"/>
      <c r="BC77" s="604"/>
      <c r="BD77" s="604"/>
      <c r="BE77" s="604"/>
      <c r="BF77" s="604"/>
      <c r="BG77" s="604"/>
      <c r="BH77" s="604"/>
      <c r="BI77" s="604"/>
      <c r="BJ77" s="604"/>
      <c r="BK77" s="604"/>
      <c r="BL77" s="604"/>
      <c r="BM77" s="604"/>
      <c r="BN77" s="604"/>
      <c r="BO77" s="604"/>
      <c r="BP77" s="604"/>
      <c r="BQ77" s="604"/>
      <c r="BR77" s="604"/>
      <c r="BS77" s="604"/>
      <c r="BT77" s="604"/>
      <c r="BU77" s="604"/>
      <c r="BV77" s="604"/>
      <c r="BW77" s="604"/>
      <c r="BX77" s="604"/>
    </row>
  </sheetData>
  <mergeCells count="1">
    <mergeCell ref="C1:D1"/>
  </mergeCells>
  <pageMargins left="0.25" right="0.25" top="0.75" bottom="0.75" header="0.3" footer="0.3"/>
  <pageSetup scale="27" fitToHeight="0" orientation="landscape" r:id="rId1"/>
  <headerFooter alignWithMargins="0"/>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641CDD3-3958-42B2-948B-F1DF35CAEC2A}">
          <x14:formula1>
            <xm:f>'IE Data Entry'!$P$2:$P$5</xm:f>
          </x14:formula1>
          <xm:sqref>M4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B81D2-335C-43A6-BBC4-B42BDF8518C2}">
  <sheetPr codeName="Sheet10">
    <tabColor rgb="FF7030A0"/>
  </sheetPr>
  <dimension ref="A1:R103"/>
  <sheetViews>
    <sheetView topLeftCell="B1" workbookViewId="0">
      <selection activeCell="M58" sqref="M58"/>
    </sheetView>
  </sheetViews>
  <sheetFormatPr baseColWidth="10" defaultColWidth="9.1640625" defaultRowHeight="15" x14ac:dyDescent="0.2"/>
  <cols>
    <col min="1" max="1" width="27.83203125" style="163" bestFit="1" customWidth="1"/>
    <col min="2" max="2" width="9.5" style="167" bestFit="1" customWidth="1"/>
    <col min="3" max="3" width="10.1640625" style="163" bestFit="1" customWidth="1"/>
    <col min="4" max="4" width="10.83203125" style="163" bestFit="1" customWidth="1"/>
    <col min="5" max="5" width="9.83203125" style="163" bestFit="1" customWidth="1"/>
    <col min="6" max="6" width="9.83203125" style="163" customWidth="1"/>
    <col min="7" max="8" width="10.1640625" style="163" bestFit="1" customWidth="1"/>
    <col min="9" max="9" width="13.83203125" style="163" customWidth="1"/>
    <col min="10" max="10" width="1.5" style="163" customWidth="1"/>
    <col min="11" max="11" width="38.5" style="163" customWidth="1"/>
    <col min="12" max="12" width="55.5" style="163" customWidth="1"/>
    <col min="13" max="13" width="9.1640625" style="163"/>
    <col min="14" max="14" width="20.83203125" style="163" customWidth="1"/>
    <col min="15" max="16384" width="9.1640625" style="163"/>
  </cols>
  <sheetData>
    <row r="1" spans="1:18" x14ac:dyDescent="0.2">
      <c r="A1" s="895" t="s">
        <v>486</v>
      </c>
      <c r="B1" s="895"/>
      <c r="C1" s="895"/>
      <c r="D1" s="895"/>
      <c r="E1" s="895"/>
      <c r="F1" s="895"/>
      <c r="G1" s="895"/>
      <c r="H1" s="895"/>
      <c r="I1" s="895"/>
      <c r="J1" s="895"/>
      <c r="K1" s="895"/>
      <c r="L1" s="895"/>
      <c r="O1" s="907" t="s">
        <v>487</v>
      </c>
      <c r="P1" s="908"/>
      <c r="Q1" s="908"/>
      <c r="R1" s="909"/>
    </row>
    <row r="2" spans="1:18" x14ac:dyDescent="0.2">
      <c r="A2" s="163" t="s">
        <v>488</v>
      </c>
      <c r="B2" s="164"/>
      <c r="C2" s="165"/>
      <c r="D2" s="165"/>
      <c r="E2" s="165"/>
      <c r="F2" s="165"/>
      <c r="G2" s="165"/>
      <c r="H2" s="165"/>
      <c r="I2" s="165"/>
      <c r="J2" s="165"/>
      <c r="K2" s="165"/>
      <c r="L2" s="165"/>
      <c r="O2" s="273">
        <f>VLOOKUP(Proforma!N6,P2:Q5,2,FALSE)</f>
        <v>1</v>
      </c>
      <c r="P2" s="632">
        <v>2021</v>
      </c>
      <c r="Q2" s="633">
        <v>0</v>
      </c>
      <c r="R2" s="274"/>
    </row>
    <row r="3" spans="1:18" x14ac:dyDescent="0.2">
      <c r="A3" s="163" t="s">
        <v>489</v>
      </c>
      <c r="B3" s="166">
        <v>2022</v>
      </c>
      <c r="C3" s="167"/>
      <c r="D3" s="167"/>
      <c r="O3" s="273"/>
      <c r="P3" s="632" t="s">
        <v>81</v>
      </c>
      <c r="Q3" s="633">
        <v>1</v>
      </c>
      <c r="R3" s="274"/>
    </row>
    <row r="4" spans="1:18" x14ac:dyDescent="0.2">
      <c r="A4" s="163" t="s">
        <v>490</v>
      </c>
      <c r="B4" s="167">
        <f>+B3-1</f>
        <v>2021</v>
      </c>
      <c r="C4" s="167">
        <f>+B4-1</f>
        <v>2020</v>
      </c>
      <c r="D4" s="167">
        <f>+C4-1</f>
        <v>2019</v>
      </c>
      <c r="O4" s="730"/>
      <c r="P4" s="632" t="s">
        <v>491</v>
      </c>
      <c r="Q4" s="633">
        <v>2</v>
      </c>
      <c r="R4" s="274"/>
    </row>
    <row r="5" spans="1:18" ht="16" thickBot="1" x14ac:dyDescent="0.25">
      <c r="A5" s="163" t="str">
        <f>"For YTD "&amp;B3&amp;" Income Statement"</f>
        <v>For YTD 2022 Income Statement</v>
      </c>
      <c r="B5" s="163"/>
      <c r="C5" s="168" t="s">
        <v>492</v>
      </c>
      <c r="D5" s="169">
        <v>43921</v>
      </c>
      <c r="E5" s="170"/>
      <c r="F5" s="170"/>
      <c r="G5" s="171" t="s">
        <v>493</v>
      </c>
      <c r="H5" s="172">
        <f>MONTH(D5)</f>
        <v>3</v>
      </c>
      <c r="O5" s="731"/>
      <c r="P5" s="732" t="s">
        <v>93</v>
      </c>
      <c r="Q5" s="711">
        <v>3</v>
      </c>
      <c r="R5" s="275"/>
    </row>
    <row r="6" spans="1:18" ht="6" customHeight="1" x14ac:dyDescent="0.2">
      <c r="B6" s="163"/>
    </row>
    <row r="7" spans="1:18" x14ac:dyDescent="0.2">
      <c r="A7" s="906" t="s">
        <v>494</v>
      </c>
      <c r="B7" s="906"/>
      <c r="C7" s="906"/>
      <c r="D7" s="906"/>
      <c r="E7" s="906"/>
      <c r="F7" s="906"/>
      <c r="G7" s="906"/>
      <c r="H7" s="906"/>
      <c r="I7" s="906"/>
      <c r="J7" s="906"/>
      <c r="K7" s="906"/>
      <c r="L7" s="906"/>
    </row>
    <row r="8" spans="1:18" x14ac:dyDescent="0.2">
      <c r="A8" s="173"/>
      <c r="B8" s="174" t="s">
        <v>495</v>
      </c>
      <c r="C8" s="174"/>
      <c r="D8" s="174"/>
      <c r="E8" s="174"/>
      <c r="F8" s="174"/>
      <c r="G8" s="174" t="s">
        <v>496</v>
      </c>
      <c r="H8" s="174" t="s">
        <v>497</v>
      </c>
      <c r="I8" s="174" t="s">
        <v>498</v>
      </c>
      <c r="J8" s="174"/>
    </row>
    <row r="9" spans="1:18" ht="16" thickBot="1" x14ac:dyDescent="0.25">
      <c r="A9" s="173" t="s">
        <v>499</v>
      </c>
      <c r="B9" s="174" t="s">
        <v>500</v>
      </c>
      <c r="C9" s="174">
        <f>+D4</f>
        <v>2019</v>
      </c>
      <c r="D9" s="174">
        <f>+C4</f>
        <v>2020</v>
      </c>
      <c r="E9" s="174">
        <f>+B4</f>
        <v>2021</v>
      </c>
      <c r="F9" s="174" t="s">
        <v>81</v>
      </c>
      <c r="G9" s="174">
        <f>Current_Year</f>
        <v>2022</v>
      </c>
      <c r="H9" s="175">
        <f>Current_Year</f>
        <v>2022</v>
      </c>
      <c r="I9" s="174" t="s">
        <v>501</v>
      </c>
      <c r="J9" s="175"/>
      <c r="K9" s="176" t="s">
        <v>502</v>
      </c>
      <c r="L9" s="176" t="s">
        <v>503</v>
      </c>
    </row>
    <row r="10" spans="1:18" x14ac:dyDescent="0.2">
      <c r="A10" s="850" t="s">
        <v>504</v>
      </c>
      <c r="B10" s="851">
        <v>1</v>
      </c>
      <c r="C10" s="852"/>
      <c r="D10" s="852"/>
      <c r="E10" s="852"/>
      <c r="F10" s="852"/>
      <c r="G10" s="852"/>
      <c r="H10" s="177">
        <f t="shared" ref="H10:H24" si="0">+G10/$H$5*12</f>
        <v>0</v>
      </c>
      <c r="I10" s="852"/>
      <c r="K10" s="163" t="str">
        <f t="shared" ref="K10:K24" si="1">VLOOKUP($B10,Income_Account_Codes,2,)</f>
        <v>MH Space Rent Tier 1</v>
      </c>
      <c r="N10" s="850" t="s">
        <v>504</v>
      </c>
      <c r="O10" s="851">
        <v>1</v>
      </c>
      <c r="P10" s="733"/>
    </row>
    <row r="11" spans="1:18" x14ac:dyDescent="0.2">
      <c r="A11" s="853" t="s">
        <v>505</v>
      </c>
      <c r="B11" s="851">
        <v>2</v>
      </c>
      <c r="C11" s="852"/>
      <c r="D11" s="852"/>
      <c r="E11" s="852"/>
      <c r="F11" s="852"/>
      <c r="G11" s="852"/>
      <c r="H11" s="177">
        <f t="shared" si="0"/>
        <v>0</v>
      </c>
      <c r="I11" s="852"/>
      <c r="K11" s="163" t="str">
        <f t="shared" si="1"/>
        <v>RV Space Rent Permanent</v>
      </c>
      <c r="N11" s="853" t="s">
        <v>505</v>
      </c>
      <c r="O11" s="851">
        <v>2</v>
      </c>
      <c r="P11" s="733"/>
    </row>
    <row r="12" spans="1:18" x14ac:dyDescent="0.2">
      <c r="A12" s="850" t="s">
        <v>506</v>
      </c>
      <c r="B12" s="851">
        <v>3</v>
      </c>
      <c r="C12" s="852"/>
      <c r="D12" s="852"/>
      <c r="E12" s="852"/>
      <c r="F12" s="852"/>
      <c r="G12" s="852"/>
      <c r="H12" s="177">
        <f t="shared" si="0"/>
        <v>0</v>
      </c>
      <c r="I12" s="852"/>
      <c r="K12" s="163" t="str">
        <f t="shared" si="1"/>
        <v>RV Space Rent Temporary</v>
      </c>
      <c r="N12" s="850" t="s">
        <v>506</v>
      </c>
      <c r="O12" s="851">
        <v>3</v>
      </c>
      <c r="P12" s="733"/>
    </row>
    <row r="13" spans="1:18" x14ac:dyDescent="0.2">
      <c r="A13" s="853" t="s">
        <v>507</v>
      </c>
      <c r="B13" s="851">
        <v>4</v>
      </c>
      <c r="C13" s="852"/>
      <c r="D13" s="852"/>
      <c r="E13" s="852"/>
      <c r="F13" s="852"/>
      <c r="G13" s="852"/>
      <c r="H13" s="177">
        <f t="shared" si="0"/>
        <v>0</v>
      </c>
      <c r="I13" s="852"/>
      <c r="K13" s="163" t="str">
        <f t="shared" si="1"/>
        <v>Vacancy Loss</v>
      </c>
      <c r="N13" s="853" t="s">
        <v>507</v>
      </c>
      <c r="O13" s="851">
        <v>4</v>
      </c>
      <c r="P13" s="733"/>
    </row>
    <row r="14" spans="1:18" x14ac:dyDescent="0.2">
      <c r="A14" s="850" t="s">
        <v>157</v>
      </c>
      <c r="B14" s="851">
        <v>4403</v>
      </c>
      <c r="C14" s="852"/>
      <c r="D14" s="852"/>
      <c r="E14" s="852"/>
      <c r="F14" s="852"/>
      <c r="G14" s="852"/>
      <c r="H14" s="177">
        <f t="shared" si="0"/>
        <v>0</v>
      </c>
      <c r="I14" s="852"/>
      <c r="K14" s="163" t="str">
        <f t="shared" si="1"/>
        <v>Electric</v>
      </c>
      <c r="N14" s="850" t="s">
        <v>157</v>
      </c>
      <c r="O14" s="851">
        <v>4403</v>
      </c>
      <c r="P14" s="733"/>
    </row>
    <row r="15" spans="1:18" x14ac:dyDescent="0.2">
      <c r="A15" s="850" t="s">
        <v>158</v>
      </c>
      <c r="B15" s="851">
        <v>4401</v>
      </c>
      <c r="C15" s="852"/>
      <c r="D15" s="852"/>
      <c r="E15" s="852"/>
      <c r="F15" s="852"/>
      <c r="G15" s="852"/>
      <c r="H15" s="177">
        <f t="shared" si="0"/>
        <v>0</v>
      </c>
      <c r="I15" s="852"/>
      <c r="K15" s="163" t="str">
        <f t="shared" si="1"/>
        <v>Gas / Propane</v>
      </c>
      <c r="N15" s="850" t="s">
        <v>158</v>
      </c>
      <c r="O15" s="851">
        <v>4401</v>
      </c>
      <c r="P15" s="733"/>
    </row>
    <row r="16" spans="1:18" x14ac:dyDescent="0.2">
      <c r="A16" s="850" t="s">
        <v>159</v>
      </c>
      <c r="B16" s="851">
        <v>4404</v>
      </c>
      <c r="C16" s="852"/>
      <c r="D16" s="852"/>
      <c r="E16" s="852"/>
      <c r="F16" s="852"/>
      <c r="G16" s="852"/>
      <c r="H16" s="177">
        <f t="shared" si="0"/>
        <v>0</v>
      </c>
      <c r="I16" s="852"/>
      <c r="K16" s="163" t="str">
        <f t="shared" si="1"/>
        <v>Trash</v>
      </c>
      <c r="N16" s="850" t="s">
        <v>159</v>
      </c>
      <c r="O16" s="851">
        <v>4404</v>
      </c>
      <c r="P16" s="733"/>
    </row>
    <row r="17" spans="1:16" x14ac:dyDescent="0.2">
      <c r="A17" s="850" t="s">
        <v>160</v>
      </c>
      <c r="B17" s="851">
        <v>4405</v>
      </c>
      <c r="C17" s="852"/>
      <c r="D17" s="852"/>
      <c r="E17" s="852"/>
      <c r="F17" s="852"/>
      <c r="G17" s="852"/>
      <c r="H17" s="177">
        <f t="shared" si="0"/>
        <v>0</v>
      </c>
      <c r="I17" s="852"/>
      <c r="K17" s="163" t="str">
        <f t="shared" si="1"/>
        <v>Sewer</v>
      </c>
      <c r="N17" s="850" t="s">
        <v>160</v>
      </c>
      <c r="O17" s="851">
        <v>4405</v>
      </c>
      <c r="P17" s="733"/>
    </row>
    <row r="18" spans="1:16" x14ac:dyDescent="0.2">
      <c r="A18" s="850" t="s">
        <v>161</v>
      </c>
      <c r="B18" s="851">
        <v>4402</v>
      </c>
      <c r="C18" s="852"/>
      <c r="D18" s="852"/>
      <c r="E18" s="852"/>
      <c r="F18" s="852"/>
      <c r="G18" s="852"/>
      <c r="H18" s="177">
        <f t="shared" si="0"/>
        <v>0</v>
      </c>
      <c r="I18" s="852"/>
      <c r="K18" s="163" t="str">
        <f t="shared" si="1"/>
        <v>Water</v>
      </c>
      <c r="N18" s="850" t="s">
        <v>161</v>
      </c>
      <c r="O18" s="851">
        <v>4402</v>
      </c>
      <c r="P18" s="733"/>
    </row>
    <row r="19" spans="1:16" x14ac:dyDescent="0.2">
      <c r="A19" s="850" t="s">
        <v>162</v>
      </c>
      <c r="B19" s="851">
        <v>4998</v>
      </c>
      <c r="C19" s="852"/>
      <c r="D19" s="852"/>
      <c r="E19" s="852"/>
      <c r="F19" s="852"/>
      <c r="G19" s="852"/>
      <c r="H19" s="177">
        <f t="shared" si="0"/>
        <v>0</v>
      </c>
      <c r="I19" s="852"/>
      <c r="K19" s="163" t="str">
        <f t="shared" si="1"/>
        <v>Other, misc.</v>
      </c>
      <c r="N19" s="850" t="s">
        <v>162</v>
      </c>
      <c r="O19" s="851">
        <v>4998</v>
      </c>
      <c r="P19" s="733"/>
    </row>
    <row r="20" spans="1:16" x14ac:dyDescent="0.2">
      <c r="A20" s="850" t="s">
        <v>508</v>
      </c>
      <c r="B20" s="851">
        <v>4134</v>
      </c>
      <c r="C20" s="852"/>
      <c r="D20" s="852"/>
      <c r="E20" s="852"/>
      <c r="F20" s="852"/>
      <c r="G20" s="852"/>
      <c r="H20" s="177">
        <f t="shared" si="0"/>
        <v>0</v>
      </c>
      <c r="I20" s="852"/>
      <c r="K20" s="163" t="str">
        <f t="shared" si="1"/>
        <v>Free Rent to Manager</v>
      </c>
      <c r="N20" s="850" t="s">
        <v>508</v>
      </c>
      <c r="O20" s="851">
        <v>4134</v>
      </c>
      <c r="P20" s="733"/>
    </row>
    <row r="21" spans="1:16" x14ac:dyDescent="0.2">
      <c r="A21" s="850"/>
      <c r="B21" s="851"/>
      <c r="C21" s="852"/>
      <c r="D21" s="852"/>
      <c r="E21" s="852"/>
      <c r="F21" s="852"/>
      <c r="G21" s="852"/>
      <c r="H21" s="177">
        <f t="shared" si="0"/>
        <v>0</v>
      </c>
      <c r="I21" s="852"/>
      <c r="K21" s="163" t="e">
        <f t="shared" si="1"/>
        <v>#N/A</v>
      </c>
    </row>
    <row r="22" spans="1:16" x14ac:dyDescent="0.2">
      <c r="A22" s="850"/>
      <c r="B22" s="851"/>
      <c r="C22" s="852"/>
      <c r="D22" s="852"/>
      <c r="E22" s="852"/>
      <c r="F22" s="852"/>
      <c r="G22" s="852"/>
      <c r="H22" s="177">
        <f t="shared" si="0"/>
        <v>0</v>
      </c>
      <c r="I22" s="852"/>
      <c r="K22" s="163" t="e">
        <f t="shared" si="1"/>
        <v>#N/A</v>
      </c>
    </row>
    <row r="23" spans="1:16" x14ac:dyDescent="0.2">
      <c r="A23" s="850"/>
      <c r="B23" s="851"/>
      <c r="C23" s="852"/>
      <c r="D23" s="852"/>
      <c r="E23" s="852"/>
      <c r="F23" s="852"/>
      <c r="G23" s="852"/>
      <c r="H23" s="177">
        <f t="shared" si="0"/>
        <v>0</v>
      </c>
      <c r="I23" s="852"/>
      <c r="K23" s="163" t="e">
        <f t="shared" si="1"/>
        <v>#N/A</v>
      </c>
    </row>
    <row r="24" spans="1:16" x14ac:dyDescent="0.2">
      <c r="A24" s="850"/>
      <c r="B24" s="851"/>
      <c r="C24" s="852"/>
      <c r="D24" s="852"/>
      <c r="E24" s="852"/>
      <c r="F24" s="852"/>
      <c r="G24" s="852"/>
      <c r="H24" s="177">
        <f t="shared" si="0"/>
        <v>0</v>
      </c>
      <c r="I24" s="852"/>
      <c r="K24" s="163" t="e">
        <f t="shared" si="1"/>
        <v>#N/A</v>
      </c>
    </row>
    <row r="25" spans="1:16" x14ac:dyDescent="0.2">
      <c r="A25" s="182" t="s">
        <v>509</v>
      </c>
      <c r="B25" s="163"/>
      <c r="C25" s="184">
        <f>SUM(C10:C24)</f>
        <v>0</v>
      </c>
      <c r="D25" s="184">
        <f t="shared" ref="D25:I25" si="2">SUM(D10:D24)</f>
        <v>0</v>
      </c>
      <c r="E25" s="184">
        <f t="shared" si="2"/>
        <v>0</v>
      </c>
      <c r="F25" s="184">
        <f t="shared" si="2"/>
        <v>0</v>
      </c>
      <c r="G25" s="184">
        <f t="shared" si="2"/>
        <v>0</v>
      </c>
      <c r="H25" s="184">
        <f t="shared" si="2"/>
        <v>0</v>
      </c>
      <c r="I25" s="184">
        <f t="shared" si="2"/>
        <v>0</v>
      </c>
    </row>
    <row r="26" spans="1:16" x14ac:dyDescent="0.2">
      <c r="B26" s="163"/>
    </row>
    <row r="27" spans="1:16" x14ac:dyDescent="0.2">
      <c r="A27" s="906" t="s">
        <v>510</v>
      </c>
      <c r="B27" s="906"/>
      <c r="C27" s="906"/>
      <c r="D27" s="906"/>
      <c r="E27" s="906"/>
      <c r="F27" s="906"/>
      <c r="G27" s="906"/>
      <c r="H27" s="906"/>
      <c r="I27" s="906"/>
      <c r="J27" s="906"/>
      <c r="K27" s="906"/>
      <c r="L27" s="906"/>
    </row>
    <row r="28" spans="1:16" x14ac:dyDescent="0.2">
      <c r="A28" s="173"/>
      <c r="B28" s="174" t="s">
        <v>495</v>
      </c>
      <c r="C28" s="174"/>
      <c r="D28" s="174"/>
      <c r="E28" s="174"/>
      <c r="F28" s="174"/>
      <c r="G28" s="174" t="s">
        <v>496</v>
      </c>
      <c r="H28" s="174" t="s">
        <v>497</v>
      </c>
      <c r="I28" s="174" t="s">
        <v>498</v>
      </c>
      <c r="J28" s="174"/>
    </row>
    <row r="29" spans="1:16" ht="16" thickBot="1" x14ac:dyDescent="0.25">
      <c r="A29" s="176" t="s">
        <v>511</v>
      </c>
      <c r="B29" s="175" t="s">
        <v>500</v>
      </c>
      <c r="C29" s="175">
        <f>+D4</f>
        <v>2019</v>
      </c>
      <c r="D29" s="175">
        <f>+C4</f>
        <v>2020</v>
      </c>
      <c r="E29" s="175">
        <f>+B4</f>
        <v>2021</v>
      </c>
      <c r="F29" s="175" t="str">
        <f>+F9</f>
        <v>Trailing 12</v>
      </c>
      <c r="G29" s="175">
        <f>Current_Year</f>
        <v>2022</v>
      </c>
      <c r="H29" s="175">
        <f>Current_Year</f>
        <v>2022</v>
      </c>
      <c r="I29" s="175" t="s">
        <v>501</v>
      </c>
      <c r="J29" s="175"/>
      <c r="K29" s="176" t="s">
        <v>502</v>
      </c>
      <c r="L29" s="176" t="s">
        <v>503</v>
      </c>
    </row>
    <row r="30" spans="1:16" x14ac:dyDescent="0.2">
      <c r="A30" s="178" t="s">
        <v>512</v>
      </c>
      <c r="B30" s="179">
        <v>5701</v>
      </c>
      <c r="C30" s="180"/>
      <c r="D30" s="180"/>
      <c r="E30" s="180"/>
      <c r="F30" s="180"/>
      <c r="G30" s="180"/>
      <c r="H30" s="177">
        <f>+G30/$H$5*12</f>
        <v>0</v>
      </c>
      <c r="I30" s="180"/>
      <c r="K30" s="181" t="str">
        <f t="shared" ref="K30:K100" si="3">VLOOKUP(B30,ChartOfAccounts,2,)</f>
        <v>Manager/Maint Salary Expense</v>
      </c>
      <c r="L30" s="181"/>
      <c r="N30" s="178" t="s">
        <v>512</v>
      </c>
      <c r="O30" s="179">
        <v>5701</v>
      </c>
    </row>
    <row r="31" spans="1:16" x14ac:dyDescent="0.2">
      <c r="A31" s="850" t="s">
        <v>175</v>
      </c>
      <c r="B31" s="851">
        <v>5305</v>
      </c>
      <c r="C31" s="852"/>
      <c r="D31" s="852"/>
      <c r="E31" s="852"/>
      <c r="F31" s="852"/>
      <c r="G31" s="852"/>
      <c r="H31" s="177">
        <f t="shared" ref="H31:H100" si="4">+G31/$H$5*12</f>
        <v>0</v>
      </c>
      <c r="I31" s="852"/>
      <c r="K31" s="854" t="str">
        <f t="shared" si="3"/>
        <v>Payroll Taxes</v>
      </c>
      <c r="L31" s="854"/>
      <c r="N31" s="850" t="s">
        <v>175</v>
      </c>
      <c r="O31" s="851">
        <v>5305</v>
      </c>
    </row>
    <row r="32" spans="1:16" x14ac:dyDescent="0.2">
      <c r="A32" s="850" t="s">
        <v>176</v>
      </c>
      <c r="B32" s="851">
        <v>5306</v>
      </c>
      <c r="C32" s="852"/>
      <c r="D32" s="852"/>
      <c r="E32" s="852"/>
      <c r="F32" s="852"/>
      <c r="G32" s="852"/>
      <c r="H32" s="177">
        <f t="shared" si="4"/>
        <v>0</v>
      </c>
      <c r="I32" s="852"/>
      <c r="K32" s="854" t="str">
        <f t="shared" si="3"/>
        <v>Workers Comp</v>
      </c>
      <c r="L32" s="854"/>
      <c r="N32" s="850" t="s">
        <v>176</v>
      </c>
      <c r="O32" s="851">
        <v>5306</v>
      </c>
    </row>
    <row r="33" spans="1:15" x14ac:dyDescent="0.2">
      <c r="A33" s="850" t="s">
        <v>157</v>
      </c>
      <c r="B33" s="851">
        <v>5404</v>
      </c>
      <c r="C33" s="852"/>
      <c r="D33" s="852"/>
      <c r="E33" s="852"/>
      <c r="F33" s="852"/>
      <c r="G33" s="852"/>
      <c r="H33" s="177">
        <f t="shared" si="4"/>
        <v>0</v>
      </c>
      <c r="I33" s="852"/>
      <c r="K33" s="854" t="str">
        <f t="shared" si="3"/>
        <v>Electric</v>
      </c>
      <c r="L33" s="854"/>
      <c r="N33" s="850" t="s">
        <v>157</v>
      </c>
      <c r="O33" s="851">
        <v>5404</v>
      </c>
    </row>
    <row r="34" spans="1:15" x14ac:dyDescent="0.2">
      <c r="A34" s="850" t="s">
        <v>177</v>
      </c>
      <c r="B34" s="851">
        <v>5401</v>
      </c>
      <c r="C34" s="852"/>
      <c r="D34" s="852"/>
      <c r="E34" s="852"/>
      <c r="F34" s="852"/>
      <c r="G34" s="852"/>
      <c r="H34" s="177">
        <f t="shared" si="4"/>
        <v>0</v>
      </c>
      <c r="I34" s="852"/>
      <c r="K34" s="854" t="str">
        <f t="shared" si="3"/>
        <v>Gas</v>
      </c>
      <c r="L34" s="854"/>
      <c r="N34" s="850" t="s">
        <v>177</v>
      </c>
      <c r="O34" s="851">
        <v>5401</v>
      </c>
    </row>
    <row r="35" spans="1:15" x14ac:dyDescent="0.2">
      <c r="A35" s="850" t="s">
        <v>159</v>
      </c>
      <c r="B35" s="851">
        <v>5405</v>
      </c>
      <c r="C35" s="852"/>
      <c r="D35" s="852"/>
      <c r="E35" s="852"/>
      <c r="F35" s="852"/>
      <c r="G35" s="852"/>
      <c r="H35" s="177">
        <f t="shared" si="4"/>
        <v>0</v>
      </c>
      <c r="I35" s="852"/>
      <c r="K35" s="854" t="str">
        <f t="shared" si="3"/>
        <v>Trash</v>
      </c>
      <c r="L35" s="854" t="s">
        <v>513</v>
      </c>
      <c r="N35" s="850" t="s">
        <v>159</v>
      </c>
      <c r="O35" s="851">
        <v>5405</v>
      </c>
    </row>
    <row r="36" spans="1:15" x14ac:dyDescent="0.2">
      <c r="A36" s="850" t="s">
        <v>178</v>
      </c>
      <c r="B36" s="851">
        <v>5403</v>
      </c>
      <c r="C36" s="852"/>
      <c r="D36" s="852"/>
      <c r="E36" s="852"/>
      <c r="F36" s="852"/>
      <c r="G36" s="852"/>
      <c r="H36" s="177">
        <f t="shared" si="4"/>
        <v>0</v>
      </c>
      <c r="I36" s="852"/>
      <c r="K36" s="854" t="str">
        <f t="shared" si="3"/>
        <v>Sewer-septic</v>
      </c>
      <c r="L36" s="854"/>
      <c r="N36" s="850" t="s">
        <v>178</v>
      </c>
      <c r="O36" s="851">
        <v>5403</v>
      </c>
    </row>
    <row r="37" spans="1:15" x14ac:dyDescent="0.2">
      <c r="A37" s="850" t="s">
        <v>179</v>
      </c>
      <c r="B37" s="851">
        <v>5402</v>
      </c>
      <c r="C37" s="852"/>
      <c r="D37" s="852"/>
      <c r="E37" s="852"/>
      <c r="F37" s="852"/>
      <c r="G37" s="852"/>
      <c r="H37" s="177">
        <f t="shared" si="4"/>
        <v>0</v>
      </c>
      <c r="I37" s="852"/>
      <c r="K37" s="854" t="str">
        <f t="shared" si="3"/>
        <v xml:space="preserve">Water </v>
      </c>
      <c r="L37" s="854"/>
      <c r="N37" s="850" t="s">
        <v>179</v>
      </c>
      <c r="O37" s="851">
        <v>5402</v>
      </c>
    </row>
    <row r="38" spans="1:15" x14ac:dyDescent="0.2">
      <c r="A38" s="850" t="s">
        <v>180</v>
      </c>
      <c r="B38" s="851">
        <v>5603</v>
      </c>
      <c r="C38" s="852"/>
      <c r="D38" s="852"/>
      <c r="E38" s="852"/>
      <c r="F38" s="852"/>
      <c r="G38" s="852"/>
      <c r="H38" s="177">
        <f t="shared" si="4"/>
        <v>0</v>
      </c>
      <c r="I38" s="852"/>
      <c r="K38" s="854" t="str">
        <f t="shared" si="3"/>
        <v xml:space="preserve">Phone/Cable </v>
      </c>
      <c r="L38" s="854"/>
      <c r="N38" s="850" t="s">
        <v>180</v>
      </c>
      <c r="O38" s="851">
        <v>5603</v>
      </c>
    </row>
    <row r="39" spans="1:15" x14ac:dyDescent="0.2">
      <c r="A39" s="850" t="s">
        <v>181</v>
      </c>
      <c r="B39" s="851">
        <v>5020</v>
      </c>
      <c r="C39" s="852"/>
      <c r="D39" s="852"/>
      <c r="E39" s="852"/>
      <c r="F39" s="852"/>
      <c r="G39" s="852"/>
      <c r="H39" s="177">
        <f t="shared" si="4"/>
        <v>0</v>
      </c>
      <c r="I39" s="852"/>
      <c r="K39" s="854" t="str">
        <f t="shared" si="3"/>
        <v>Auto expense &amp; travel</v>
      </c>
      <c r="L39" s="854"/>
      <c r="N39" s="850" t="s">
        <v>181</v>
      </c>
      <c r="O39" s="851">
        <v>5020</v>
      </c>
    </row>
    <row r="40" spans="1:15" x14ac:dyDescent="0.2">
      <c r="A40" s="850" t="s">
        <v>514</v>
      </c>
      <c r="B40" s="851">
        <v>5104</v>
      </c>
      <c r="C40" s="852"/>
      <c r="D40" s="852"/>
      <c r="E40" s="852"/>
      <c r="F40" s="852"/>
      <c r="G40" s="852"/>
      <c r="H40" s="177">
        <f t="shared" si="4"/>
        <v>0</v>
      </c>
      <c r="I40" s="852"/>
      <c r="K40" s="854" t="str">
        <f t="shared" si="3"/>
        <v>Repairs &amp; Maintenance / Capex Reserve</v>
      </c>
      <c r="L40" s="854"/>
      <c r="N40" s="850" t="s">
        <v>514</v>
      </c>
      <c r="O40" s="851">
        <v>5104</v>
      </c>
    </row>
    <row r="41" spans="1:15" x14ac:dyDescent="0.2">
      <c r="A41" s="850" t="s">
        <v>182</v>
      </c>
      <c r="B41" s="851">
        <v>5109</v>
      </c>
      <c r="C41" s="852"/>
      <c r="D41" s="852"/>
      <c r="E41" s="852"/>
      <c r="F41" s="852"/>
      <c r="G41" s="852"/>
      <c r="H41" s="177">
        <f t="shared" si="4"/>
        <v>0</v>
      </c>
      <c r="I41" s="852"/>
      <c r="K41" s="854" t="str">
        <f t="shared" si="3"/>
        <v>Outside Services -plumbing, electrical, etc</v>
      </c>
      <c r="L41" s="854"/>
      <c r="N41" s="850" t="s">
        <v>182</v>
      </c>
      <c r="O41" s="851">
        <v>5109</v>
      </c>
    </row>
    <row r="42" spans="1:15" x14ac:dyDescent="0.2">
      <c r="A42" s="850" t="s">
        <v>183</v>
      </c>
      <c r="B42" s="851">
        <v>5200</v>
      </c>
      <c r="C42" s="852"/>
      <c r="D42" s="852"/>
      <c r="E42" s="852"/>
      <c r="F42" s="852"/>
      <c r="G42" s="852"/>
      <c r="H42" s="177">
        <f t="shared" si="4"/>
        <v>0</v>
      </c>
      <c r="I42" s="852"/>
      <c r="K42" s="854" t="str">
        <f t="shared" si="3"/>
        <v>Landscape, pool, &amp; sweeping maintenance &amp; supplies</v>
      </c>
      <c r="L42" s="854"/>
      <c r="N42" s="850" t="s">
        <v>183</v>
      </c>
      <c r="O42" s="851">
        <v>5200</v>
      </c>
    </row>
    <row r="43" spans="1:15" x14ac:dyDescent="0.2">
      <c r="A43" s="850" t="s">
        <v>481</v>
      </c>
      <c r="B43" s="851">
        <v>5301</v>
      </c>
      <c r="C43" s="852"/>
      <c r="D43" s="852"/>
      <c r="E43" s="852"/>
      <c r="F43" s="852"/>
      <c r="G43" s="852"/>
      <c r="H43" s="177">
        <f t="shared" si="4"/>
        <v>0</v>
      </c>
      <c r="I43" s="852"/>
      <c r="K43" s="854" t="str">
        <f t="shared" si="3"/>
        <v xml:space="preserve">Property Taxes </v>
      </c>
      <c r="L43" s="854"/>
      <c r="N43" s="850" t="s">
        <v>481</v>
      </c>
      <c r="O43" s="851">
        <v>5301</v>
      </c>
    </row>
    <row r="44" spans="1:15" x14ac:dyDescent="0.2">
      <c r="A44" s="850" t="s">
        <v>185</v>
      </c>
      <c r="B44" s="851">
        <v>5053</v>
      </c>
      <c r="C44" s="852"/>
      <c r="D44" s="852"/>
      <c r="E44" s="852"/>
      <c r="F44" s="852"/>
      <c r="G44" s="852"/>
      <c r="H44" s="177">
        <f t="shared" si="4"/>
        <v>0</v>
      </c>
      <c r="I44" s="852"/>
      <c r="K44" s="854" t="str">
        <f t="shared" si="3"/>
        <v xml:space="preserve">Insurance </v>
      </c>
      <c r="L44" s="854"/>
      <c r="N44" s="850" t="s">
        <v>185</v>
      </c>
      <c r="O44" s="851">
        <v>5053</v>
      </c>
    </row>
    <row r="45" spans="1:15" x14ac:dyDescent="0.2">
      <c r="A45" s="850" t="s">
        <v>515</v>
      </c>
      <c r="B45" s="851">
        <v>5604</v>
      </c>
      <c r="C45" s="852"/>
      <c r="D45" s="852"/>
      <c r="E45" s="852"/>
      <c r="F45" s="852"/>
      <c r="G45" s="852"/>
      <c r="H45" s="177">
        <f t="shared" si="4"/>
        <v>0</v>
      </c>
      <c r="I45" s="852"/>
      <c r="K45" s="854" t="str">
        <f t="shared" si="3"/>
        <v>Billing Software</v>
      </c>
      <c r="L45" s="854"/>
      <c r="N45" s="850" t="s">
        <v>515</v>
      </c>
      <c r="O45" s="851">
        <v>5604</v>
      </c>
    </row>
    <row r="46" spans="1:15" x14ac:dyDescent="0.2">
      <c r="A46" s="850" t="s">
        <v>187</v>
      </c>
      <c r="B46" s="851">
        <v>5062</v>
      </c>
      <c r="C46" s="852"/>
      <c r="D46" s="852"/>
      <c r="E46" s="852"/>
      <c r="F46" s="852"/>
      <c r="G46" s="852"/>
      <c r="H46" s="177">
        <f t="shared" si="4"/>
        <v>0</v>
      </c>
      <c r="I46" s="852"/>
      <c r="K46" s="854" t="str">
        <f t="shared" si="3"/>
        <v>Legal Expenses</v>
      </c>
      <c r="L46" s="854"/>
      <c r="N46" s="850" t="s">
        <v>187</v>
      </c>
      <c r="O46" s="851">
        <v>5062</v>
      </c>
    </row>
    <row r="47" spans="1:15" x14ac:dyDescent="0.2">
      <c r="A47" s="850" t="s">
        <v>188</v>
      </c>
      <c r="B47" s="851">
        <v>5302</v>
      </c>
      <c r="C47" s="852"/>
      <c r="D47" s="852"/>
      <c r="E47" s="852"/>
      <c r="F47" s="852"/>
      <c r="G47" s="852"/>
      <c r="H47" s="177">
        <f t="shared" si="4"/>
        <v>0</v>
      </c>
      <c r="I47" s="852"/>
      <c r="K47" s="854" t="str">
        <f t="shared" si="3"/>
        <v>LLC/LP Tax</v>
      </c>
      <c r="L47" s="854"/>
      <c r="N47" s="850" t="s">
        <v>188</v>
      </c>
      <c r="O47" s="851">
        <v>5302</v>
      </c>
    </row>
    <row r="48" spans="1:15" x14ac:dyDescent="0.2">
      <c r="A48" s="850" t="s">
        <v>189</v>
      </c>
      <c r="B48" s="851">
        <v>5001</v>
      </c>
      <c r="C48" s="852"/>
      <c r="D48" s="852"/>
      <c r="E48" s="852"/>
      <c r="F48" s="852"/>
      <c r="G48" s="852"/>
      <c r="H48" s="177">
        <f t="shared" si="4"/>
        <v>0</v>
      </c>
      <c r="I48" s="852"/>
      <c r="K48" s="854" t="str">
        <f t="shared" si="3"/>
        <v>Advertising</v>
      </c>
      <c r="L48" s="854"/>
      <c r="N48" s="850" t="s">
        <v>189</v>
      </c>
      <c r="O48" s="851">
        <v>5001</v>
      </c>
    </row>
    <row r="49" spans="1:15" x14ac:dyDescent="0.2">
      <c r="A49" s="850" t="s">
        <v>190</v>
      </c>
      <c r="B49" s="851">
        <v>5061</v>
      </c>
      <c r="C49" s="852"/>
      <c r="D49" s="852"/>
      <c r="E49" s="852"/>
      <c r="F49" s="852"/>
      <c r="G49" s="852"/>
      <c r="H49" s="177">
        <f t="shared" si="4"/>
        <v>0</v>
      </c>
      <c r="I49" s="852"/>
      <c r="K49" s="854" t="str">
        <f t="shared" si="3"/>
        <v>Tax Return Preparation/accounting</v>
      </c>
      <c r="L49" s="854"/>
      <c r="N49" s="850" t="s">
        <v>190</v>
      </c>
      <c r="O49" s="851">
        <v>5061</v>
      </c>
    </row>
    <row r="50" spans="1:15" x14ac:dyDescent="0.2">
      <c r="A50" s="850" t="s">
        <v>191</v>
      </c>
      <c r="B50" s="851">
        <v>5304</v>
      </c>
      <c r="C50" s="852"/>
      <c r="D50" s="852"/>
      <c r="E50" s="852"/>
      <c r="F50" s="852"/>
      <c r="G50" s="852"/>
      <c r="H50" s="177">
        <f t="shared" si="4"/>
        <v>0</v>
      </c>
      <c r="I50" s="852"/>
      <c r="K50" s="854" t="str">
        <f t="shared" si="3"/>
        <v>Licenses and Permits</v>
      </c>
      <c r="L50" s="854"/>
      <c r="N50" s="850" t="s">
        <v>191</v>
      </c>
      <c r="O50" s="851">
        <v>5304</v>
      </c>
    </row>
    <row r="51" spans="1:15" x14ac:dyDescent="0.2">
      <c r="A51" s="850" t="s">
        <v>192</v>
      </c>
      <c r="B51" s="851">
        <v>5064</v>
      </c>
      <c r="C51" s="852"/>
      <c r="D51" s="852"/>
      <c r="E51" s="852"/>
      <c r="F51" s="852"/>
      <c r="G51" s="852"/>
      <c r="H51" s="177">
        <f t="shared" si="4"/>
        <v>0</v>
      </c>
      <c r="I51" s="852"/>
      <c r="K51" s="854" t="str">
        <f t="shared" si="3"/>
        <v>Banking and Merchant fees (est)</v>
      </c>
      <c r="L51" s="854"/>
      <c r="N51" s="850" t="s">
        <v>192</v>
      </c>
      <c r="O51" s="851">
        <v>5064</v>
      </c>
    </row>
    <row r="52" spans="1:15" x14ac:dyDescent="0.2">
      <c r="A52" s="850" t="s">
        <v>193</v>
      </c>
      <c r="B52" s="851">
        <v>5601</v>
      </c>
      <c r="C52" s="852"/>
      <c r="D52" s="852"/>
      <c r="E52" s="852"/>
      <c r="F52" s="852"/>
      <c r="G52" s="852"/>
      <c r="H52" s="177">
        <f t="shared" si="4"/>
        <v>0</v>
      </c>
      <c r="I52" s="852"/>
      <c r="K52" s="854" t="str">
        <f t="shared" si="3"/>
        <v>Office Supplies, Postage, Pager, Printing, dues, subscr, Misc.</v>
      </c>
      <c r="L52" s="854"/>
      <c r="N52" s="850" t="s">
        <v>193</v>
      </c>
      <c r="O52" s="851">
        <v>5601</v>
      </c>
    </row>
    <row r="53" spans="1:15" x14ac:dyDescent="0.2">
      <c r="A53" s="850" t="s">
        <v>516</v>
      </c>
      <c r="B53" s="851">
        <v>5000</v>
      </c>
      <c r="C53" s="852"/>
      <c r="D53" s="852"/>
      <c r="E53" s="852"/>
      <c r="F53" s="852"/>
      <c r="G53" s="852"/>
      <c r="H53" s="177">
        <f t="shared" si="4"/>
        <v>0</v>
      </c>
      <c r="I53" s="852"/>
      <c r="K53" s="854" t="str">
        <f t="shared" si="3"/>
        <v>Professional Mgmt ($2,000/mo or 5%)</v>
      </c>
      <c r="L53" s="854"/>
      <c r="N53" s="850" t="s">
        <v>516</v>
      </c>
      <c r="O53" s="851">
        <v>5000</v>
      </c>
    </row>
    <row r="54" spans="1:15" x14ac:dyDescent="0.2">
      <c r="A54" s="850"/>
      <c r="B54" s="851"/>
      <c r="C54" s="852"/>
      <c r="D54" s="852"/>
      <c r="E54" s="852"/>
      <c r="F54" s="852"/>
      <c r="G54" s="852"/>
      <c r="H54" s="177">
        <f t="shared" si="4"/>
        <v>0</v>
      </c>
      <c r="I54" s="852"/>
      <c r="K54" s="854" t="e">
        <f t="shared" si="3"/>
        <v>#N/A</v>
      </c>
      <c r="L54" s="854"/>
    </row>
    <row r="55" spans="1:15" x14ac:dyDescent="0.2">
      <c r="A55" s="853"/>
      <c r="B55" s="851"/>
      <c r="C55" s="852"/>
      <c r="D55" s="852"/>
      <c r="E55" s="852"/>
      <c r="F55" s="852"/>
      <c r="G55" s="852"/>
      <c r="H55" s="177">
        <f t="shared" si="4"/>
        <v>0</v>
      </c>
      <c r="I55" s="852"/>
      <c r="K55" s="854" t="e">
        <f t="shared" si="3"/>
        <v>#N/A</v>
      </c>
      <c r="L55" s="854"/>
      <c r="N55" s="178" t="s">
        <v>512</v>
      </c>
      <c r="O55" s="179">
        <v>5701</v>
      </c>
    </row>
    <row r="56" spans="1:15" x14ac:dyDescent="0.2">
      <c r="A56" s="853"/>
      <c r="B56" s="851"/>
      <c r="C56" s="852"/>
      <c r="D56" s="852"/>
      <c r="E56" s="852"/>
      <c r="F56" s="852"/>
      <c r="G56" s="852"/>
      <c r="H56" s="177">
        <f t="shared" si="4"/>
        <v>0</v>
      </c>
      <c r="I56" s="852"/>
      <c r="K56" s="854" t="e">
        <f t="shared" si="3"/>
        <v>#N/A</v>
      </c>
      <c r="L56" s="854"/>
      <c r="N56" s="850" t="s">
        <v>175</v>
      </c>
      <c r="O56" s="851">
        <v>5305</v>
      </c>
    </row>
    <row r="57" spans="1:15" x14ac:dyDescent="0.2">
      <c r="A57" s="853"/>
      <c r="B57" s="851"/>
      <c r="C57" s="852"/>
      <c r="D57" s="852"/>
      <c r="E57" s="852"/>
      <c r="F57" s="852"/>
      <c r="G57" s="852"/>
      <c r="H57" s="177">
        <f t="shared" si="4"/>
        <v>0</v>
      </c>
      <c r="I57" s="852"/>
      <c r="K57" s="854" t="e">
        <f t="shared" si="3"/>
        <v>#N/A</v>
      </c>
      <c r="L57" s="854"/>
      <c r="N57" s="850" t="s">
        <v>176</v>
      </c>
      <c r="O57" s="851">
        <v>5306</v>
      </c>
    </row>
    <row r="58" spans="1:15" x14ac:dyDescent="0.2">
      <c r="A58" s="853"/>
      <c r="B58" s="851"/>
      <c r="C58" s="852"/>
      <c r="D58" s="852"/>
      <c r="E58" s="852"/>
      <c r="F58" s="852"/>
      <c r="G58" s="852"/>
      <c r="H58" s="177">
        <f t="shared" si="4"/>
        <v>0</v>
      </c>
      <c r="I58" s="852"/>
      <c r="K58" s="854" t="e">
        <f t="shared" si="3"/>
        <v>#N/A</v>
      </c>
      <c r="L58" s="854"/>
      <c r="N58" s="850" t="s">
        <v>157</v>
      </c>
      <c r="O58" s="851">
        <v>5404</v>
      </c>
    </row>
    <row r="59" spans="1:15" x14ac:dyDescent="0.2">
      <c r="A59" s="853"/>
      <c r="B59" s="851"/>
      <c r="C59" s="852"/>
      <c r="D59" s="852"/>
      <c r="E59" s="852"/>
      <c r="F59" s="852"/>
      <c r="G59" s="852"/>
      <c r="H59" s="177">
        <f t="shared" si="4"/>
        <v>0</v>
      </c>
      <c r="I59" s="852"/>
      <c r="K59" s="854" t="e">
        <f t="shared" si="3"/>
        <v>#N/A</v>
      </c>
      <c r="L59" s="854"/>
      <c r="N59" s="850" t="s">
        <v>177</v>
      </c>
      <c r="O59" s="851">
        <v>5401</v>
      </c>
    </row>
    <row r="60" spans="1:15" x14ac:dyDescent="0.2">
      <c r="A60" s="853"/>
      <c r="B60" s="851"/>
      <c r="C60" s="852"/>
      <c r="D60" s="852"/>
      <c r="E60" s="852"/>
      <c r="F60" s="852"/>
      <c r="G60" s="852"/>
      <c r="H60" s="177">
        <f t="shared" si="4"/>
        <v>0</v>
      </c>
      <c r="I60" s="852"/>
      <c r="K60" s="854" t="e">
        <f t="shared" si="3"/>
        <v>#N/A</v>
      </c>
      <c r="L60" s="854"/>
      <c r="N60" s="850" t="s">
        <v>159</v>
      </c>
      <c r="O60" s="851">
        <v>5405</v>
      </c>
    </row>
    <row r="61" spans="1:15" x14ac:dyDescent="0.2">
      <c r="A61" s="853"/>
      <c r="B61" s="851"/>
      <c r="C61" s="852"/>
      <c r="D61" s="852"/>
      <c r="E61" s="852"/>
      <c r="F61" s="852"/>
      <c r="G61" s="852"/>
      <c r="H61" s="177">
        <f t="shared" si="4"/>
        <v>0</v>
      </c>
      <c r="I61" s="852"/>
      <c r="K61" s="854" t="e">
        <f t="shared" si="3"/>
        <v>#N/A</v>
      </c>
      <c r="L61" s="854"/>
      <c r="N61" s="850" t="s">
        <v>178</v>
      </c>
      <c r="O61" s="851">
        <v>5403</v>
      </c>
    </row>
    <row r="62" spans="1:15" x14ac:dyDescent="0.2">
      <c r="A62" s="853"/>
      <c r="B62" s="851"/>
      <c r="C62" s="852"/>
      <c r="D62" s="852"/>
      <c r="E62" s="852"/>
      <c r="F62" s="852"/>
      <c r="G62" s="852"/>
      <c r="H62" s="177">
        <f t="shared" si="4"/>
        <v>0</v>
      </c>
      <c r="I62" s="852"/>
      <c r="K62" s="854" t="e">
        <f t="shared" si="3"/>
        <v>#N/A</v>
      </c>
      <c r="L62" s="854"/>
      <c r="N62" s="850" t="s">
        <v>179</v>
      </c>
      <c r="O62" s="851">
        <v>5402</v>
      </c>
    </row>
    <row r="63" spans="1:15" x14ac:dyDescent="0.2">
      <c r="A63" s="853"/>
      <c r="B63" s="851"/>
      <c r="C63" s="852"/>
      <c r="D63" s="852"/>
      <c r="E63" s="852"/>
      <c r="F63" s="852"/>
      <c r="G63" s="852"/>
      <c r="H63" s="177">
        <f t="shared" si="4"/>
        <v>0</v>
      </c>
      <c r="I63" s="852"/>
      <c r="K63" s="854" t="e">
        <f t="shared" si="3"/>
        <v>#N/A</v>
      </c>
      <c r="L63" s="854"/>
      <c r="N63" s="850" t="s">
        <v>180</v>
      </c>
      <c r="O63" s="851">
        <v>5603</v>
      </c>
    </row>
    <row r="64" spans="1:15" x14ac:dyDescent="0.2">
      <c r="A64" s="853"/>
      <c r="B64" s="851"/>
      <c r="C64" s="852"/>
      <c r="D64" s="852"/>
      <c r="E64" s="852"/>
      <c r="F64" s="852"/>
      <c r="G64" s="852"/>
      <c r="H64" s="177">
        <f t="shared" si="4"/>
        <v>0</v>
      </c>
      <c r="I64" s="852"/>
      <c r="K64" s="854" t="e">
        <f t="shared" si="3"/>
        <v>#N/A</v>
      </c>
      <c r="L64" s="854"/>
      <c r="N64" s="850" t="s">
        <v>181</v>
      </c>
      <c r="O64" s="851">
        <v>5020</v>
      </c>
    </row>
    <row r="65" spans="1:15" x14ac:dyDescent="0.2">
      <c r="A65" s="853"/>
      <c r="B65" s="851"/>
      <c r="C65" s="852"/>
      <c r="D65" s="852"/>
      <c r="E65" s="852"/>
      <c r="F65" s="852"/>
      <c r="G65" s="852"/>
      <c r="H65" s="177">
        <f t="shared" si="4"/>
        <v>0</v>
      </c>
      <c r="I65" s="852"/>
      <c r="K65" s="854" t="e">
        <f t="shared" si="3"/>
        <v>#N/A</v>
      </c>
      <c r="L65" s="854"/>
      <c r="N65" s="850" t="s">
        <v>514</v>
      </c>
      <c r="O65" s="851">
        <v>5104</v>
      </c>
    </row>
    <row r="66" spans="1:15" x14ac:dyDescent="0.2">
      <c r="A66" s="853"/>
      <c r="B66" s="851"/>
      <c r="C66" s="852"/>
      <c r="D66" s="852"/>
      <c r="E66" s="852"/>
      <c r="F66" s="852"/>
      <c r="G66" s="852"/>
      <c r="H66" s="177">
        <f t="shared" si="4"/>
        <v>0</v>
      </c>
      <c r="I66" s="852"/>
      <c r="K66" s="854" t="e">
        <f t="shared" si="3"/>
        <v>#N/A</v>
      </c>
      <c r="L66" s="854"/>
      <c r="N66" s="850" t="s">
        <v>182</v>
      </c>
      <c r="O66" s="851">
        <v>5109</v>
      </c>
    </row>
    <row r="67" spans="1:15" x14ac:dyDescent="0.2">
      <c r="A67" s="853"/>
      <c r="B67" s="851"/>
      <c r="C67" s="852"/>
      <c r="D67" s="852"/>
      <c r="E67" s="852"/>
      <c r="F67" s="852"/>
      <c r="G67" s="852"/>
      <c r="H67" s="177">
        <f t="shared" si="4"/>
        <v>0</v>
      </c>
      <c r="I67" s="852"/>
      <c r="K67" s="854" t="e">
        <f t="shared" si="3"/>
        <v>#N/A</v>
      </c>
      <c r="L67" s="854"/>
      <c r="N67" s="850" t="s">
        <v>183</v>
      </c>
      <c r="O67" s="851">
        <v>5200</v>
      </c>
    </row>
    <row r="68" spans="1:15" x14ac:dyDescent="0.2">
      <c r="A68" s="853"/>
      <c r="B68" s="851"/>
      <c r="C68" s="852"/>
      <c r="D68" s="852"/>
      <c r="E68" s="852"/>
      <c r="F68" s="852"/>
      <c r="G68" s="852"/>
      <c r="H68" s="177">
        <f t="shared" si="4"/>
        <v>0</v>
      </c>
      <c r="I68" s="852"/>
      <c r="K68" s="854" t="e">
        <f t="shared" si="3"/>
        <v>#N/A</v>
      </c>
      <c r="L68" s="854"/>
      <c r="N68" s="850" t="s">
        <v>481</v>
      </c>
      <c r="O68" s="851">
        <v>5301</v>
      </c>
    </row>
    <row r="69" spans="1:15" x14ac:dyDescent="0.2">
      <c r="A69" s="853"/>
      <c r="B69" s="851"/>
      <c r="C69" s="852"/>
      <c r="D69" s="852"/>
      <c r="E69" s="852"/>
      <c r="F69" s="852"/>
      <c r="G69" s="852"/>
      <c r="H69" s="177">
        <f t="shared" si="4"/>
        <v>0</v>
      </c>
      <c r="I69" s="852"/>
      <c r="K69" s="854" t="e">
        <f t="shared" si="3"/>
        <v>#N/A</v>
      </c>
      <c r="L69" s="854"/>
      <c r="N69" s="850" t="s">
        <v>185</v>
      </c>
      <c r="O69" s="851">
        <v>5053</v>
      </c>
    </row>
    <row r="70" spans="1:15" x14ac:dyDescent="0.2">
      <c r="A70" s="853"/>
      <c r="B70" s="851"/>
      <c r="C70" s="852"/>
      <c r="D70" s="852"/>
      <c r="E70" s="852"/>
      <c r="F70" s="852"/>
      <c r="G70" s="852"/>
      <c r="H70" s="177">
        <f t="shared" si="4"/>
        <v>0</v>
      </c>
      <c r="I70" s="852"/>
      <c r="K70" s="854" t="e">
        <f t="shared" si="3"/>
        <v>#N/A</v>
      </c>
      <c r="L70" s="854"/>
      <c r="N70" s="850" t="s">
        <v>515</v>
      </c>
      <c r="O70" s="851">
        <v>5604</v>
      </c>
    </row>
    <row r="71" spans="1:15" x14ac:dyDescent="0.2">
      <c r="A71" s="853"/>
      <c r="B71" s="851"/>
      <c r="C71" s="852"/>
      <c r="D71" s="852"/>
      <c r="E71" s="852"/>
      <c r="F71" s="852"/>
      <c r="G71" s="852"/>
      <c r="H71" s="177">
        <f t="shared" si="4"/>
        <v>0</v>
      </c>
      <c r="I71" s="852"/>
      <c r="K71" s="854" t="e">
        <f t="shared" si="3"/>
        <v>#N/A</v>
      </c>
      <c r="L71" s="854"/>
      <c r="N71" s="850" t="s">
        <v>187</v>
      </c>
      <c r="O71" s="851">
        <v>5062</v>
      </c>
    </row>
    <row r="72" spans="1:15" x14ac:dyDescent="0.2">
      <c r="A72" s="853"/>
      <c r="B72" s="851"/>
      <c r="C72" s="852"/>
      <c r="D72" s="852"/>
      <c r="E72" s="852"/>
      <c r="F72" s="852"/>
      <c r="G72" s="852"/>
      <c r="H72" s="177">
        <f t="shared" si="4"/>
        <v>0</v>
      </c>
      <c r="I72" s="852"/>
      <c r="K72" s="854" t="e">
        <f t="shared" si="3"/>
        <v>#N/A</v>
      </c>
      <c r="L72" s="854"/>
      <c r="N72" s="850" t="s">
        <v>188</v>
      </c>
      <c r="O72" s="851">
        <v>5302</v>
      </c>
    </row>
    <row r="73" spans="1:15" x14ac:dyDescent="0.2">
      <c r="A73" s="853"/>
      <c r="B73" s="851"/>
      <c r="C73" s="852"/>
      <c r="D73" s="852"/>
      <c r="E73" s="852"/>
      <c r="F73" s="852"/>
      <c r="G73" s="852"/>
      <c r="H73" s="177">
        <f t="shared" si="4"/>
        <v>0</v>
      </c>
      <c r="I73" s="852"/>
      <c r="K73" s="854" t="e">
        <f t="shared" si="3"/>
        <v>#N/A</v>
      </c>
      <c r="L73" s="854"/>
      <c r="N73" s="850" t="s">
        <v>189</v>
      </c>
      <c r="O73" s="851">
        <v>5001</v>
      </c>
    </row>
    <row r="74" spans="1:15" x14ac:dyDescent="0.2">
      <c r="A74" s="853"/>
      <c r="B74" s="851"/>
      <c r="C74" s="852"/>
      <c r="D74" s="852"/>
      <c r="E74" s="852"/>
      <c r="F74" s="852"/>
      <c r="G74" s="852"/>
      <c r="H74" s="177">
        <f t="shared" si="4"/>
        <v>0</v>
      </c>
      <c r="I74" s="852"/>
      <c r="K74" s="854" t="e">
        <f t="shared" si="3"/>
        <v>#N/A</v>
      </c>
      <c r="L74" s="854"/>
      <c r="N74" s="850" t="s">
        <v>190</v>
      </c>
      <c r="O74" s="851">
        <v>5061</v>
      </c>
    </row>
    <row r="75" spans="1:15" x14ac:dyDescent="0.2">
      <c r="A75" s="853"/>
      <c r="B75" s="851"/>
      <c r="C75" s="852"/>
      <c r="D75" s="852"/>
      <c r="E75" s="852"/>
      <c r="F75" s="852"/>
      <c r="G75" s="852"/>
      <c r="H75" s="177">
        <f t="shared" si="4"/>
        <v>0</v>
      </c>
      <c r="I75" s="852"/>
      <c r="K75" s="854" t="e">
        <f t="shared" si="3"/>
        <v>#N/A</v>
      </c>
      <c r="L75" s="854"/>
      <c r="N75" s="850" t="s">
        <v>191</v>
      </c>
      <c r="O75" s="851">
        <v>5304</v>
      </c>
    </row>
    <row r="76" spans="1:15" x14ac:dyDescent="0.2">
      <c r="A76" s="853"/>
      <c r="B76" s="851"/>
      <c r="C76" s="852"/>
      <c r="D76" s="852"/>
      <c r="E76" s="852"/>
      <c r="F76" s="852"/>
      <c r="G76" s="852"/>
      <c r="H76" s="177">
        <f t="shared" si="4"/>
        <v>0</v>
      </c>
      <c r="I76" s="852"/>
      <c r="K76" s="854" t="e">
        <f t="shared" si="3"/>
        <v>#N/A</v>
      </c>
      <c r="L76" s="854"/>
      <c r="N76" s="850" t="s">
        <v>192</v>
      </c>
      <c r="O76" s="851">
        <v>5064</v>
      </c>
    </row>
    <row r="77" spans="1:15" x14ac:dyDescent="0.2">
      <c r="A77" s="853"/>
      <c r="B77" s="851"/>
      <c r="C77" s="852"/>
      <c r="D77" s="852"/>
      <c r="E77" s="852"/>
      <c r="F77" s="852"/>
      <c r="G77" s="852"/>
      <c r="H77" s="177">
        <f t="shared" si="4"/>
        <v>0</v>
      </c>
      <c r="I77" s="852"/>
      <c r="K77" s="854" t="e">
        <f t="shared" si="3"/>
        <v>#N/A</v>
      </c>
      <c r="L77" s="854"/>
      <c r="N77" s="850" t="s">
        <v>193</v>
      </c>
      <c r="O77" s="851">
        <v>5601</v>
      </c>
    </row>
    <row r="78" spans="1:15" x14ac:dyDescent="0.2">
      <c r="A78" s="853"/>
      <c r="B78" s="851"/>
      <c r="C78" s="852"/>
      <c r="D78" s="852"/>
      <c r="E78" s="852"/>
      <c r="F78" s="852"/>
      <c r="G78" s="852"/>
      <c r="H78" s="177">
        <f t="shared" si="4"/>
        <v>0</v>
      </c>
      <c r="I78" s="852"/>
      <c r="K78" s="854" t="e">
        <f t="shared" si="3"/>
        <v>#N/A</v>
      </c>
      <c r="L78" s="854"/>
      <c r="N78" s="850" t="s">
        <v>516</v>
      </c>
      <c r="O78" s="851">
        <v>5000</v>
      </c>
    </row>
    <row r="79" spans="1:15" x14ac:dyDescent="0.2">
      <c r="A79" s="853"/>
      <c r="B79" s="851"/>
      <c r="C79" s="852"/>
      <c r="D79" s="852"/>
      <c r="E79" s="852"/>
      <c r="F79" s="852"/>
      <c r="G79" s="852"/>
      <c r="H79" s="177">
        <f t="shared" si="4"/>
        <v>0</v>
      </c>
      <c r="I79" s="852"/>
      <c r="K79" s="854" t="e">
        <f t="shared" si="3"/>
        <v>#N/A</v>
      </c>
      <c r="L79" s="854"/>
    </row>
    <row r="80" spans="1:15" x14ac:dyDescent="0.2">
      <c r="A80" s="853"/>
      <c r="B80" s="851"/>
      <c r="C80" s="852"/>
      <c r="D80" s="852"/>
      <c r="E80" s="852"/>
      <c r="F80" s="852"/>
      <c r="G80" s="852"/>
      <c r="H80" s="177">
        <f t="shared" si="4"/>
        <v>0</v>
      </c>
      <c r="I80" s="852"/>
      <c r="K80" s="854" t="e">
        <f t="shared" si="3"/>
        <v>#N/A</v>
      </c>
      <c r="L80" s="854"/>
      <c r="N80" s="178" t="s">
        <v>512</v>
      </c>
      <c r="O80" s="179">
        <v>5701</v>
      </c>
    </row>
    <row r="81" spans="1:15" x14ac:dyDescent="0.2">
      <c r="A81" s="853"/>
      <c r="B81" s="851"/>
      <c r="C81" s="852"/>
      <c r="D81" s="852"/>
      <c r="E81" s="852"/>
      <c r="F81" s="852"/>
      <c r="G81" s="852"/>
      <c r="H81" s="177">
        <f t="shared" si="4"/>
        <v>0</v>
      </c>
      <c r="I81" s="852"/>
      <c r="K81" s="854" t="e">
        <f t="shared" si="3"/>
        <v>#N/A</v>
      </c>
      <c r="L81" s="854"/>
      <c r="N81" s="850" t="s">
        <v>175</v>
      </c>
      <c r="O81" s="851">
        <v>5305</v>
      </c>
    </row>
    <row r="82" spans="1:15" x14ac:dyDescent="0.2">
      <c r="A82" s="850"/>
      <c r="B82" s="851"/>
      <c r="C82" s="852"/>
      <c r="D82" s="852"/>
      <c r="E82" s="852"/>
      <c r="F82" s="852"/>
      <c r="G82" s="852"/>
      <c r="H82" s="177">
        <f t="shared" si="4"/>
        <v>0</v>
      </c>
      <c r="I82" s="852"/>
      <c r="K82" s="854" t="e">
        <f t="shared" si="3"/>
        <v>#N/A</v>
      </c>
      <c r="L82" s="854"/>
      <c r="N82" s="850" t="s">
        <v>176</v>
      </c>
      <c r="O82" s="851">
        <v>5306</v>
      </c>
    </row>
    <row r="83" spans="1:15" x14ac:dyDescent="0.2">
      <c r="A83" s="850"/>
      <c r="B83" s="851"/>
      <c r="C83" s="852"/>
      <c r="D83" s="852"/>
      <c r="E83" s="852"/>
      <c r="F83" s="852"/>
      <c r="G83" s="852"/>
      <c r="H83" s="177">
        <f t="shared" si="4"/>
        <v>0</v>
      </c>
      <c r="I83" s="852"/>
      <c r="K83" s="854" t="e">
        <f t="shared" si="3"/>
        <v>#N/A</v>
      </c>
      <c r="L83" s="854"/>
      <c r="N83" s="850" t="s">
        <v>157</v>
      </c>
      <c r="O83" s="851">
        <v>5404</v>
      </c>
    </row>
    <row r="84" spans="1:15" x14ac:dyDescent="0.2">
      <c r="A84" s="850"/>
      <c r="B84" s="851"/>
      <c r="C84" s="852"/>
      <c r="D84" s="852"/>
      <c r="E84" s="852"/>
      <c r="F84" s="852"/>
      <c r="G84" s="852"/>
      <c r="H84" s="177">
        <f t="shared" si="4"/>
        <v>0</v>
      </c>
      <c r="I84" s="852"/>
      <c r="K84" s="854" t="e">
        <f t="shared" si="3"/>
        <v>#N/A</v>
      </c>
      <c r="L84" s="854"/>
      <c r="N84" s="850" t="s">
        <v>177</v>
      </c>
      <c r="O84" s="851">
        <v>5401</v>
      </c>
    </row>
    <row r="85" spans="1:15" x14ac:dyDescent="0.2">
      <c r="A85" s="850"/>
      <c r="B85" s="851"/>
      <c r="C85" s="852"/>
      <c r="D85" s="852"/>
      <c r="E85" s="852"/>
      <c r="F85" s="852"/>
      <c r="G85" s="852"/>
      <c r="H85" s="177">
        <f t="shared" si="4"/>
        <v>0</v>
      </c>
      <c r="I85" s="852"/>
      <c r="K85" s="854" t="e">
        <f t="shared" si="3"/>
        <v>#N/A</v>
      </c>
      <c r="L85" s="854"/>
      <c r="N85" s="850" t="s">
        <v>159</v>
      </c>
      <c r="O85" s="851">
        <v>5405</v>
      </c>
    </row>
    <row r="86" spans="1:15" x14ac:dyDescent="0.2">
      <c r="A86" s="850"/>
      <c r="B86" s="851"/>
      <c r="C86" s="852"/>
      <c r="D86" s="852"/>
      <c r="E86" s="852"/>
      <c r="F86" s="852"/>
      <c r="G86" s="852"/>
      <c r="H86" s="177">
        <f t="shared" si="4"/>
        <v>0</v>
      </c>
      <c r="I86" s="852"/>
      <c r="K86" s="854" t="e">
        <f t="shared" si="3"/>
        <v>#N/A</v>
      </c>
      <c r="L86" s="854"/>
      <c r="N86" s="850" t="s">
        <v>178</v>
      </c>
      <c r="O86" s="851">
        <v>5403</v>
      </c>
    </row>
    <row r="87" spans="1:15" x14ac:dyDescent="0.2">
      <c r="A87" s="850"/>
      <c r="B87" s="851"/>
      <c r="C87" s="852"/>
      <c r="D87" s="852"/>
      <c r="E87" s="852"/>
      <c r="F87" s="852"/>
      <c r="G87" s="852"/>
      <c r="H87" s="177">
        <f t="shared" si="4"/>
        <v>0</v>
      </c>
      <c r="I87" s="852"/>
      <c r="K87" s="854" t="e">
        <f t="shared" si="3"/>
        <v>#N/A</v>
      </c>
      <c r="L87" s="854"/>
      <c r="N87" s="850" t="s">
        <v>179</v>
      </c>
      <c r="O87" s="851">
        <v>5402</v>
      </c>
    </row>
    <row r="88" spans="1:15" x14ac:dyDescent="0.2">
      <c r="A88" s="850"/>
      <c r="B88" s="851"/>
      <c r="C88" s="852"/>
      <c r="D88" s="852"/>
      <c r="E88" s="852"/>
      <c r="F88" s="852"/>
      <c r="G88" s="852"/>
      <c r="H88" s="177">
        <f t="shared" si="4"/>
        <v>0</v>
      </c>
      <c r="I88" s="852"/>
      <c r="K88" s="854" t="e">
        <f t="shared" si="3"/>
        <v>#N/A</v>
      </c>
      <c r="L88" s="854"/>
      <c r="N88" s="850" t="s">
        <v>180</v>
      </c>
      <c r="O88" s="851">
        <v>5603</v>
      </c>
    </row>
    <row r="89" spans="1:15" x14ac:dyDescent="0.2">
      <c r="A89" s="850"/>
      <c r="B89" s="851"/>
      <c r="C89" s="852"/>
      <c r="D89" s="852"/>
      <c r="E89" s="852"/>
      <c r="F89" s="852"/>
      <c r="G89" s="852"/>
      <c r="H89" s="177">
        <f t="shared" si="4"/>
        <v>0</v>
      </c>
      <c r="I89" s="852"/>
      <c r="K89" s="854" t="e">
        <f t="shared" si="3"/>
        <v>#N/A</v>
      </c>
      <c r="L89" s="854"/>
      <c r="N89" s="850" t="s">
        <v>181</v>
      </c>
      <c r="O89" s="851">
        <v>5020</v>
      </c>
    </row>
    <row r="90" spans="1:15" x14ac:dyDescent="0.2">
      <c r="A90" s="850"/>
      <c r="B90" s="851"/>
      <c r="C90" s="852"/>
      <c r="D90" s="852"/>
      <c r="E90" s="852"/>
      <c r="F90" s="852"/>
      <c r="G90" s="852"/>
      <c r="H90" s="177">
        <f t="shared" si="4"/>
        <v>0</v>
      </c>
      <c r="I90" s="852"/>
      <c r="K90" s="854" t="e">
        <f t="shared" si="3"/>
        <v>#N/A</v>
      </c>
      <c r="L90" s="854"/>
      <c r="N90" s="850" t="s">
        <v>514</v>
      </c>
      <c r="O90" s="851">
        <v>5104</v>
      </c>
    </row>
    <row r="91" spans="1:15" x14ac:dyDescent="0.2">
      <c r="A91" s="850"/>
      <c r="B91" s="851"/>
      <c r="C91" s="852"/>
      <c r="D91" s="852"/>
      <c r="E91" s="852"/>
      <c r="F91" s="852"/>
      <c r="G91" s="852"/>
      <c r="H91" s="177">
        <f t="shared" si="4"/>
        <v>0</v>
      </c>
      <c r="I91" s="852"/>
      <c r="K91" s="854" t="e">
        <f t="shared" si="3"/>
        <v>#N/A</v>
      </c>
      <c r="L91" s="854"/>
      <c r="N91" s="850" t="s">
        <v>182</v>
      </c>
      <c r="O91" s="851">
        <v>5109</v>
      </c>
    </row>
    <row r="92" spans="1:15" x14ac:dyDescent="0.2">
      <c r="A92" s="850"/>
      <c r="B92" s="851"/>
      <c r="C92" s="852"/>
      <c r="D92" s="852"/>
      <c r="E92" s="852"/>
      <c r="F92" s="852"/>
      <c r="G92" s="852"/>
      <c r="H92" s="177">
        <f t="shared" si="4"/>
        <v>0</v>
      </c>
      <c r="I92" s="852"/>
      <c r="K92" s="854" t="e">
        <f t="shared" si="3"/>
        <v>#N/A</v>
      </c>
      <c r="L92" s="854"/>
      <c r="N92" s="850" t="s">
        <v>183</v>
      </c>
      <c r="O92" s="851">
        <v>5200</v>
      </c>
    </row>
    <row r="93" spans="1:15" x14ac:dyDescent="0.2">
      <c r="A93" s="850"/>
      <c r="B93" s="851"/>
      <c r="C93" s="852"/>
      <c r="D93" s="852"/>
      <c r="E93" s="852"/>
      <c r="F93" s="852"/>
      <c r="G93" s="852"/>
      <c r="H93" s="177">
        <f t="shared" si="4"/>
        <v>0</v>
      </c>
      <c r="I93" s="852"/>
      <c r="K93" s="854" t="e">
        <f t="shared" si="3"/>
        <v>#N/A</v>
      </c>
      <c r="L93" s="854"/>
      <c r="N93" s="850" t="s">
        <v>481</v>
      </c>
      <c r="O93" s="851">
        <v>5301</v>
      </c>
    </row>
    <row r="94" spans="1:15" x14ac:dyDescent="0.2">
      <c r="A94" s="850"/>
      <c r="B94" s="851"/>
      <c r="C94" s="852"/>
      <c r="D94" s="852"/>
      <c r="E94" s="852"/>
      <c r="F94" s="852"/>
      <c r="G94" s="852"/>
      <c r="H94" s="177">
        <f t="shared" si="4"/>
        <v>0</v>
      </c>
      <c r="I94" s="852"/>
      <c r="K94" s="854" t="e">
        <f t="shared" si="3"/>
        <v>#N/A</v>
      </c>
      <c r="L94" s="854"/>
      <c r="N94" s="850" t="s">
        <v>185</v>
      </c>
      <c r="O94" s="851">
        <v>5053</v>
      </c>
    </row>
    <row r="95" spans="1:15" x14ac:dyDescent="0.2">
      <c r="A95" s="850"/>
      <c r="B95" s="851"/>
      <c r="C95" s="852"/>
      <c r="D95" s="852"/>
      <c r="E95" s="852"/>
      <c r="F95" s="852"/>
      <c r="G95" s="852"/>
      <c r="H95" s="177">
        <f t="shared" si="4"/>
        <v>0</v>
      </c>
      <c r="I95" s="852"/>
      <c r="K95" s="854" t="e">
        <f t="shared" si="3"/>
        <v>#N/A</v>
      </c>
      <c r="L95" s="854"/>
      <c r="N95" s="850" t="s">
        <v>515</v>
      </c>
      <c r="O95" s="851">
        <v>5604</v>
      </c>
    </row>
    <row r="96" spans="1:15" x14ac:dyDescent="0.2">
      <c r="A96" s="850"/>
      <c r="B96" s="851"/>
      <c r="C96" s="852"/>
      <c r="D96" s="852"/>
      <c r="E96" s="852"/>
      <c r="F96" s="852"/>
      <c r="G96" s="852"/>
      <c r="H96" s="177">
        <f t="shared" si="4"/>
        <v>0</v>
      </c>
      <c r="I96" s="852"/>
      <c r="K96" s="854" t="e">
        <f t="shared" si="3"/>
        <v>#N/A</v>
      </c>
      <c r="L96" s="854"/>
      <c r="N96" s="850" t="s">
        <v>187</v>
      </c>
      <c r="O96" s="851">
        <v>5062</v>
      </c>
    </row>
    <row r="97" spans="1:15" x14ac:dyDescent="0.2">
      <c r="A97" s="850"/>
      <c r="B97" s="851"/>
      <c r="C97" s="852"/>
      <c r="D97" s="852"/>
      <c r="E97" s="852"/>
      <c r="F97" s="852"/>
      <c r="G97" s="852"/>
      <c r="H97" s="177">
        <f t="shared" si="4"/>
        <v>0</v>
      </c>
      <c r="I97" s="852"/>
      <c r="K97" s="854" t="e">
        <f t="shared" si="3"/>
        <v>#N/A</v>
      </c>
      <c r="L97" s="854"/>
      <c r="N97" s="850" t="s">
        <v>188</v>
      </c>
      <c r="O97" s="851">
        <v>5302</v>
      </c>
    </row>
    <row r="98" spans="1:15" x14ac:dyDescent="0.2">
      <c r="A98" s="850"/>
      <c r="B98" s="851"/>
      <c r="C98" s="852"/>
      <c r="D98" s="852"/>
      <c r="E98" s="852"/>
      <c r="F98" s="852"/>
      <c r="G98" s="852"/>
      <c r="H98" s="177">
        <f t="shared" si="4"/>
        <v>0</v>
      </c>
      <c r="I98" s="852"/>
      <c r="K98" s="854" t="e">
        <f t="shared" si="3"/>
        <v>#N/A</v>
      </c>
      <c r="L98" s="854"/>
      <c r="N98" s="850" t="s">
        <v>189</v>
      </c>
      <c r="O98" s="851">
        <v>5001</v>
      </c>
    </row>
    <row r="99" spans="1:15" x14ac:dyDescent="0.2">
      <c r="A99" s="850"/>
      <c r="B99" s="851"/>
      <c r="C99" s="852"/>
      <c r="D99" s="852"/>
      <c r="E99" s="852"/>
      <c r="F99" s="852"/>
      <c r="G99" s="852"/>
      <c r="H99" s="177">
        <f t="shared" si="4"/>
        <v>0</v>
      </c>
      <c r="I99" s="852"/>
      <c r="K99" s="854" t="e">
        <f t="shared" si="3"/>
        <v>#N/A</v>
      </c>
      <c r="L99" s="854"/>
      <c r="N99" s="850" t="s">
        <v>190</v>
      </c>
      <c r="O99" s="851">
        <v>5061</v>
      </c>
    </row>
    <row r="100" spans="1:15" x14ac:dyDescent="0.2">
      <c r="A100" s="850"/>
      <c r="B100" s="851"/>
      <c r="C100" s="852"/>
      <c r="D100" s="852"/>
      <c r="E100" s="852"/>
      <c r="F100" s="852"/>
      <c r="G100" s="852"/>
      <c r="H100" s="177">
        <f t="shared" si="4"/>
        <v>0</v>
      </c>
      <c r="I100" s="852"/>
      <c r="K100" s="854" t="e">
        <f t="shared" si="3"/>
        <v>#N/A</v>
      </c>
      <c r="L100" s="854"/>
      <c r="N100" s="850" t="s">
        <v>191</v>
      </c>
      <c r="O100" s="851">
        <v>5304</v>
      </c>
    </row>
    <row r="101" spans="1:15" s="182" customFormat="1" x14ac:dyDescent="0.2">
      <c r="A101" s="182" t="s">
        <v>509</v>
      </c>
      <c r="B101" s="183"/>
      <c r="C101" s="184">
        <f>SUM(C30:C100)</f>
        <v>0</v>
      </c>
      <c r="D101" s="184">
        <f t="shared" ref="D101:I101" si="5">SUM(D30:D100)</f>
        <v>0</v>
      </c>
      <c r="E101" s="184">
        <f t="shared" si="5"/>
        <v>0</v>
      </c>
      <c r="F101" s="184">
        <f t="shared" si="5"/>
        <v>0</v>
      </c>
      <c r="G101" s="184">
        <f t="shared" si="5"/>
        <v>0</v>
      </c>
      <c r="H101" s="184">
        <f t="shared" si="5"/>
        <v>0</v>
      </c>
      <c r="I101" s="184">
        <f t="shared" si="5"/>
        <v>0</v>
      </c>
      <c r="N101" s="850" t="s">
        <v>192</v>
      </c>
      <c r="O101" s="851">
        <v>5064</v>
      </c>
    </row>
    <row r="102" spans="1:15" x14ac:dyDescent="0.2">
      <c r="N102" s="850" t="s">
        <v>193</v>
      </c>
      <c r="O102" s="851">
        <v>5601</v>
      </c>
    </row>
    <row r="103" spans="1:15" x14ac:dyDescent="0.2">
      <c r="N103" s="850" t="s">
        <v>516</v>
      </c>
      <c r="O103" s="851">
        <v>5000</v>
      </c>
    </row>
  </sheetData>
  <mergeCells count="4">
    <mergeCell ref="A1:L1"/>
    <mergeCell ref="A7:L7"/>
    <mergeCell ref="A27:L27"/>
    <mergeCell ref="O1:R1"/>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033F9-CD85-4464-8D5C-662985727A34}">
  <sheetPr codeName="Sheet11">
    <tabColor rgb="FF7030A0"/>
  </sheetPr>
  <dimension ref="A1:U110"/>
  <sheetViews>
    <sheetView workbookViewId="0">
      <selection activeCell="M58" sqref="M58"/>
    </sheetView>
  </sheetViews>
  <sheetFormatPr baseColWidth="10" defaultColWidth="9.1640625" defaultRowHeight="15" x14ac:dyDescent="0.2"/>
  <cols>
    <col min="1" max="1" width="53.83203125" style="163" bestFit="1" customWidth="1"/>
    <col min="2" max="2" width="10.1640625" style="163" bestFit="1" customWidth="1"/>
    <col min="3" max="4" width="9" style="163" bestFit="1" customWidth="1"/>
    <col min="5" max="5" width="9.5" style="163" bestFit="1" customWidth="1"/>
    <col min="6" max="6" width="15.1640625" style="163" bestFit="1" customWidth="1"/>
    <col min="7" max="7" width="16.5" style="163" bestFit="1" customWidth="1"/>
    <col min="8" max="8" width="18.5" style="163" bestFit="1" customWidth="1"/>
    <col min="9" max="10" width="18.5" style="163" customWidth="1"/>
    <col min="11" max="16384" width="9.1640625" style="163"/>
  </cols>
  <sheetData>
    <row r="1" spans="1:21" x14ac:dyDescent="0.2">
      <c r="A1" s="895" t="str">
        <f>"Historical Financial Analysis Summary - "&amp;'IE Data Entry'!B2</f>
        <v xml:space="preserve">Historical Financial Analysis Summary - </v>
      </c>
      <c r="B1" s="895"/>
      <c r="C1" s="895"/>
      <c r="D1" s="895"/>
      <c r="E1" s="895"/>
      <c r="F1" s="895"/>
      <c r="G1" s="895"/>
      <c r="H1" s="185"/>
      <c r="I1" s="185"/>
      <c r="J1" s="185"/>
      <c r="K1" s="186"/>
      <c r="L1" s="186"/>
      <c r="M1" s="186"/>
      <c r="N1" s="186"/>
      <c r="O1" s="186"/>
      <c r="P1" s="186"/>
      <c r="Q1" s="186"/>
      <c r="R1" s="186"/>
      <c r="S1" s="185"/>
      <c r="T1" s="185"/>
      <c r="U1" s="185"/>
    </row>
    <row r="2" spans="1:21" ht="9" customHeight="1" x14ac:dyDescent="0.2">
      <c r="A2" s="165"/>
      <c r="B2" s="165"/>
      <c r="C2" s="165"/>
      <c r="D2" s="165"/>
      <c r="E2" s="165"/>
      <c r="F2" s="165"/>
      <c r="G2" s="185"/>
      <c r="H2" s="185"/>
      <c r="I2" s="185"/>
      <c r="J2" s="185"/>
      <c r="K2" s="186"/>
      <c r="L2" s="186"/>
      <c r="M2" s="186"/>
      <c r="N2" s="186"/>
      <c r="O2" s="186"/>
      <c r="P2" s="186"/>
      <c r="Q2" s="186"/>
      <c r="R2" s="186"/>
      <c r="S2" s="185"/>
      <c r="T2" s="185"/>
      <c r="U2" s="185"/>
    </row>
    <row r="3" spans="1:21" x14ac:dyDescent="0.2">
      <c r="A3" s="906" t="s">
        <v>517</v>
      </c>
      <c r="B3" s="906"/>
      <c r="C3" s="906"/>
      <c r="D3" s="906"/>
      <c r="E3" s="906"/>
      <c r="F3" s="906"/>
      <c r="G3" s="906"/>
      <c r="H3" s="185"/>
      <c r="I3" s="185"/>
      <c r="J3" s="185"/>
      <c r="K3" s="186"/>
      <c r="L3" s="186"/>
      <c r="M3" s="186"/>
      <c r="N3" s="186"/>
      <c r="O3" s="186"/>
      <c r="P3" s="186"/>
      <c r="Q3" s="186"/>
      <c r="R3" s="186"/>
      <c r="S3" s="187"/>
      <c r="T3" s="185"/>
      <c r="U3" s="185"/>
    </row>
    <row r="4" spans="1:21" x14ac:dyDescent="0.2">
      <c r="A4" s="173"/>
      <c r="B4" s="174"/>
      <c r="C4" s="174"/>
      <c r="D4" s="174"/>
      <c r="E4" s="174"/>
      <c r="F4" s="910" t="str">
        <f>Current_Year&amp;" Annualized"</f>
        <v>2022 Annualized</v>
      </c>
      <c r="G4" s="910" t="s">
        <v>518</v>
      </c>
      <c r="H4" s="174" t="s">
        <v>475</v>
      </c>
      <c r="I4" s="625" t="s">
        <v>519</v>
      </c>
      <c r="J4" s="174"/>
      <c r="K4" s="186"/>
      <c r="L4" s="186"/>
      <c r="M4" s="186"/>
      <c r="N4" s="188"/>
      <c r="O4" s="186"/>
      <c r="P4" s="186"/>
      <c r="Q4" s="186"/>
      <c r="R4" s="186"/>
      <c r="S4" s="189"/>
      <c r="T4" s="185"/>
      <c r="U4" s="185"/>
    </row>
    <row r="5" spans="1:21" ht="16" thickBot="1" x14ac:dyDescent="0.25">
      <c r="A5" s="176" t="s">
        <v>520</v>
      </c>
      <c r="B5" s="175">
        <f>+B31</f>
        <v>2019</v>
      </c>
      <c r="C5" s="175">
        <f t="shared" ref="C5:E5" si="0">+C31</f>
        <v>2020</v>
      </c>
      <c r="D5" s="175">
        <f t="shared" si="0"/>
        <v>2021</v>
      </c>
      <c r="E5" s="175" t="str">
        <f t="shared" si="0"/>
        <v>Trailing 12</v>
      </c>
      <c r="F5" s="911"/>
      <c r="G5" s="911"/>
      <c r="H5" s="175" t="s">
        <v>501</v>
      </c>
      <c r="I5" s="626" t="s">
        <v>521</v>
      </c>
      <c r="J5" s="174"/>
      <c r="K5" s="186"/>
      <c r="L5" s="186"/>
      <c r="M5" s="186"/>
      <c r="N5" s="188"/>
      <c r="O5" s="186"/>
      <c r="P5" s="186"/>
      <c r="Q5" s="186"/>
      <c r="R5" s="186"/>
      <c r="S5" s="189"/>
      <c r="T5" s="185"/>
      <c r="U5" s="185"/>
    </row>
    <row r="6" spans="1:21" x14ac:dyDescent="0.2">
      <c r="A6" s="173" t="s">
        <v>522</v>
      </c>
      <c r="B6" s="174"/>
      <c r="C6" s="174"/>
      <c r="D6" s="174"/>
      <c r="E6" s="174"/>
      <c r="F6" s="174"/>
      <c r="G6" s="174"/>
      <c r="H6" s="174"/>
      <c r="I6" s="624"/>
      <c r="J6" s="174"/>
      <c r="K6" s="186" t="s">
        <v>523</v>
      </c>
      <c r="L6" s="186"/>
      <c r="M6" s="186"/>
      <c r="N6" s="188"/>
      <c r="O6" s="186"/>
      <c r="P6" s="186"/>
      <c r="Q6" s="186"/>
      <c r="R6" s="186"/>
      <c r="S6" s="189"/>
      <c r="T6" s="185"/>
      <c r="U6" s="185"/>
    </row>
    <row r="7" spans="1:21" x14ac:dyDescent="0.2">
      <c r="A7" s="733" t="s">
        <v>504</v>
      </c>
      <c r="B7" s="190">
        <f>SUMIF('IE Data Entry'!$B$10:$B$24,'IE SUMMARY'!$S7,'IE Data Entry'!C$10:C$24)</f>
        <v>0</v>
      </c>
      <c r="C7" s="191">
        <f>SUMIF('IE Data Entry'!$B$10:$B$24,'IE SUMMARY'!$S7,'IE Data Entry'!D$10:D$24)</f>
        <v>0</v>
      </c>
      <c r="D7" s="191">
        <f>SUMIF('IE Data Entry'!$B$10:$B$24,'IE SUMMARY'!$S7,'IE Data Entry'!E$10:E$24)</f>
        <v>0</v>
      </c>
      <c r="E7" s="191">
        <f>SUMIF('IE Data Entry'!$B$10:$B$24,'IE SUMMARY'!$S7,'IE Data Entry'!F$10:F$24)</f>
        <v>0</v>
      </c>
      <c r="F7" s="191">
        <f>SUMIF('IE Data Entry'!$B$10:$B$24,'IE SUMMARY'!$S7,'IE Data Entry'!H$10:H$24)</f>
        <v>0</v>
      </c>
      <c r="G7" s="191">
        <f>SUMIF('IE Data Entry'!$B$10:$B$24,'IE SUMMARY'!$S7,'IE Data Entry'!I$10:I$24)</f>
        <v>0</v>
      </c>
      <c r="H7" s="192">
        <f>+Proforma!F36*12</f>
        <v>608580</v>
      </c>
      <c r="I7" s="630">
        <f>IFERROR(H7-(AVERAGEIF(B7:G7,"&gt;0",B7:G7)),H7)</f>
        <v>608580</v>
      </c>
      <c r="J7" s="619"/>
      <c r="K7" s="186"/>
      <c r="L7" s="186"/>
      <c r="M7" s="186"/>
      <c r="N7" s="188"/>
      <c r="O7" s="186"/>
      <c r="P7" s="186"/>
      <c r="Q7" s="186"/>
      <c r="R7" s="186"/>
      <c r="S7" s="189">
        <v>1</v>
      </c>
      <c r="T7" s="185"/>
      <c r="U7" s="185"/>
    </row>
    <row r="8" spans="1:21" x14ac:dyDescent="0.2">
      <c r="A8" s="733" t="s">
        <v>505</v>
      </c>
      <c r="B8" s="191">
        <f>SUMIF('IE Data Entry'!$B$10:$B$24,'IE SUMMARY'!$S8,'IE Data Entry'!C$10:C$24)</f>
        <v>0</v>
      </c>
      <c r="C8" s="191">
        <f>SUMIF('IE Data Entry'!$B$10:$B$24,'IE SUMMARY'!$S8,'IE Data Entry'!D$10:D$24)</f>
        <v>0</v>
      </c>
      <c r="D8" s="191">
        <f>SUMIF('IE Data Entry'!$B$10:$B$24,'IE SUMMARY'!$S8,'IE Data Entry'!E$10:E$24)</f>
        <v>0</v>
      </c>
      <c r="E8" s="191">
        <f>SUMIF('IE Data Entry'!$B$10:$B$24,'IE SUMMARY'!$S8,'IE Data Entry'!F$10:F$24)</f>
        <v>0</v>
      </c>
      <c r="F8" s="191">
        <f>SUMIF('IE Data Entry'!$B$10:$B$24,'IE SUMMARY'!$S8,'IE Data Entry'!H$10:H$24)</f>
        <v>0</v>
      </c>
      <c r="G8" s="191">
        <f>SUMIF('IE Data Entry'!$B$10:$B$24,'IE SUMMARY'!$S8,'IE Data Entry'!I$10:I$24)</f>
        <v>0</v>
      </c>
      <c r="H8" s="192">
        <f>+Proforma!F37*12</f>
        <v>76320</v>
      </c>
      <c r="I8" s="630">
        <f t="shared" ref="I8:I61" si="1">IFERROR(H8-(AVERAGEIF(B8:G8,"&gt;0",B8:G8)),H8)</f>
        <v>76320</v>
      </c>
      <c r="J8" s="619"/>
      <c r="K8" s="186"/>
      <c r="L8" s="186"/>
      <c r="M8" s="186"/>
      <c r="N8" s="188"/>
      <c r="O8" s="186"/>
      <c r="P8" s="186"/>
      <c r="Q8" s="186"/>
      <c r="R8" s="186"/>
      <c r="S8" s="189">
        <v>2</v>
      </c>
      <c r="T8" s="185"/>
      <c r="U8" s="185"/>
    </row>
    <row r="9" spans="1:21" x14ac:dyDescent="0.2">
      <c r="A9" s="733" t="s">
        <v>506</v>
      </c>
      <c r="B9" s="191">
        <f>SUMIF('IE Data Entry'!$B$10:$B$24,'IE SUMMARY'!$S9,'IE Data Entry'!C$10:C$24)</f>
        <v>0</v>
      </c>
      <c r="C9" s="191">
        <f>SUMIF('IE Data Entry'!$B$10:$B$24,'IE SUMMARY'!$S9,'IE Data Entry'!D$10:D$24)</f>
        <v>0</v>
      </c>
      <c r="D9" s="191">
        <f>SUMIF('IE Data Entry'!$B$10:$B$24,'IE SUMMARY'!$S9,'IE Data Entry'!E$10:E$24)</f>
        <v>0</v>
      </c>
      <c r="E9" s="191">
        <f>SUMIF('IE Data Entry'!$B$10:$B$24,'IE SUMMARY'!$S9,'IE Data Entry'!F$10:F$24)</f>
        <v>0</v>
      </c>
      <c r="F9" s="191">
        <f>SUMIF('IE Data Entry'!$B$10:$B$24,'IE SUMMARY'!$S9,'IE Data Entry'!H$10:H$24)</f>
        <v>0</v>
      </c>
      <c r="G9" s="191">
        <f>SUMIF('IE Data Entry'!$B$10:$B$24,'IE SUMMARY'!$S9,'IE Data Entry'!I$10:I$24)</f>
        <v>0</v>
      </c>
      <c r="H9" s="192">
        <f>+Proforma!F38*12</f>
        <v>107256</v>
      </c>
      <c r="I9" s="630">
        <f t="shared" si="1"/>
        <v>107256</v>
      </c>
      <c r="J9" s="619"/>
      <c r="K9" s="185" t="str">
        <f>IF(ISERROR((+(G11-E11)/E11)),"",(+(G11-E11)/E11))</f>
        <v/>
      </c>
      <c r="L9" s="193" t="s">
        <v>524</v>
      </c>
      <c r="M9" s="185"/>
      <c r="O9" s="185"/>
      <c r="P9" s="185"/>
      <c r="Q9" s="185"/>
      <c r="R9" s="185"/>
      <c r="S9" s="189">
        <v>3</v>
      </c>
      <c r="T9" s="185"/>
      <c r="U9" s="185"/>
    </row>
    <row r="10" spans="1:21" x14ac:dyDescent="0.2">
      <c r="A10" s="733" t="s">
        <v>525</v>
      </c>
      <c r="B10" s="191">
        <f>SUMIF('IE Data Entry'!$B$10:$B$24,'IE SUMMARY'!$S10,'IE Data Entry'!C$10:C$24)</f>
        <v>0</v>
      </c>
      <c r="C10" s="191">
        <f>SUMIF('IE Data Entry'!$B$10:$B$24,'IE SUMMARY'!$S10,'IE Data Entry'!D$10:D$24)</f>
        <v>0</v>
      </c>
      <c r="D10" s="191">
        <f>SUMIF('IE Data Entry'!$B$10:$B$24,'IE SUMMARY'!$S10,'IE Data Entry'!E$10:E$24)</f>
        <v>0</v>
      </c>
      <c r="E10" s="191">
        <f>SUMIF('IE Data Entry'!$B$10:$B$24,'IE SUMMARY'!$S10,'IE Data Entry'!F$10:F$24)</f>
        <v>0</v>
      </c>
      <c r="F10" s="191">
        <f>SUMIF('IE Data Entry'!$B$10:$B$24,'IE SUMMARY'!$S10,'IE Data Entry'!H$10:H$24)</f>
        <v>0</v>
      </c>
      <c r="G10" s="191">
        <f>SUMIF('IE Data Entry'!$B$10:$B$24,'IE SUMMARY'!$S10,'IE Data Entry'!I$10:I$24)</f>
        <v>0</v>
      </c>
      <c r="H10" s="194">
        <f>SUM(Proforma!F40:F42)*12</f>
        <v>-411901.68</v>
      </c>
      <c r="I10" s="631">
        <f t="shared" si="1"/>
        <v>-411901.68</v>
      </c>
      <c r="J10" s="619"/>
      <c r="K10" s="195" t="str">
        <f>IF(ISERROR((+(G11-F11)/F11)),"",(+(G11-F11)/F11))</f>
        <v/>
      </c>
      <c r="L10" s="193" t="s">
        <v>526</v>
      </c>
      <c r="M10" s="185"/>
      <c r="O10" s="186"/>
      <c r="P10" s="185"/>
      <c r="Q10" s="185"/>
      <c r="R10" s="185"/>
      <c r="S10" s="189">
        <v>4</v>
      </c>
      <c r="T10" s="185"/>
      <c r="U10" s="185"/>
    </row>
    <row r="11" spans="1:21" x14ac:dyDescent="0.2">
      <c r="A11" s="196" t="s">
        <v>142</v>
      </c>
      <c r="B11" s="855">
        <f>SUM(B7:B10)</f>
        <v>0</v>
      </c>
      <c r="C11" s="855">
        <f t="shared" ref="C11:H11" si="2">SUM(C7:C10)</f>
        <v>0</v>
      </c>
      <c r="D11" s="855">
        <f t="shared" si="2"/>
        <v>0</v>
      </c>
      <c r="E11" s="855">
        <f t="shared" si="2"/>
        <v>0</v>
      </c>
      <c r="F11" s="855">
        <f t="shared" si="2"/>
        <v>0</v>
      </c>
      <c r="G11" s="855">
        <f t="shared" si="2"/>
        <v>0</v>
      </c>
      <c r="H11" s="855">
        <f t="shared" si="2"/>
        <v>380254.32</v>
      </c>
      <c r="I11" s="630">
        <f t="shared" si="1"/>
        <v>380254.32</v>
      </c>
      <c r="J11" s="619"/>
      <c r="K11" s="195" t="str">
        <f>IF(ISERROR((+(G11-D11)/D11)),"",(+(G11-D11)/D11))</f>
        <v/>
      </c>
      <c r="L11" s="193" t="str">
        <f>"Broker Compared to "&amp;'IE Data Entry'!$B$4</f>
        <v>Broker Compared to 2021</v>
      </c>
      <c r="M11" s="197"/>
      <c r="O11" s="186"/>
      <c r="P11" s="185"/>
      <c r="Q11" s="185"/>
      <c r="R11" s="185"/>
      <c r="S11" s="189"/>
      <c r="T11" s="185"/>
      <c r="U11" s="185"/>
    </row>
    <row r="12" spans="1:21" x14ac:dyDescent="0.2">
      <c r="A12" s="198" t="s">
        <v>527</v>
      </c>
      <c r="B12" s="193"/>
      <c r="C12" s="195" t="str">
        <f>IF(ISERROR((+(C11-B11)/B11)),"",(+(C11-B11)/B11))</f>
        <v/>
      </c>
      <c r="D12" s="195" t="str">
        <f>IF(ISERROR((+(D11-C11)/C11)),"",(+(D11-C11)/C11))</f>
        <v/>
      </c>
      <c r="E12" s="195" t="str">
        <f>IF(ISERROR((+(E11-D11)/D11)),"",(+(E11-D11)/D11))</f>
        <v/>
      </c>
      <c r="F12" s="195" t="str">
        <f>IF(ISERROR((+(F11-D11)/D11)),"",(+(F11-D11)/D11))</f>
        <v/>
      </c>
      <c r="G12" s="195"/>
      <c r="I12" s="630">
        <f t="shared" si="1"/>
        <v>0</v>
      </c>
      <c r="L12" s="195"/>
      <c r="M12" s="195"/>
      <c r="N12" s="195"/>
      <c r="O12" s="185"/>
      <c r="P12" s="185"/>
      <c r="Q12" s="185"/>
      <c r="R12" s="185"/>
      <c r="S12" s="189"/>
      <c r="T12" s="185"/>
      <c r="U12" s="185"/>
    </row>
    <row r="13" spans="1:21" ht="10.25" customHeight="1" x14ac:dyDescent="0.2">
      <c r="A13" s="733"/>
      <c r="B13" s="199"/>
      <c r="C13" s="199"/>
      <c r="D13" s="199"/>
      <c r="E13" s="199"/>
      <c r="F13" s="199"/>
      <c r="G13" s="199"/>
      <c r="H13" s="195"/>
      <c r="I13" s="630">
        <f t="shared" si="1"/>
        <v>0</v>
      </c>
      <c r="J13" s="195"/>
      <c r="K13" s="193"/>
      <c r="L13" s="185"/>
      <c r="M13" s="185"/>
      <c r="N13" s="199"/>
      <c r="O13" s="185"/>
      <c r="P13" s="185"/>
      <c r="Q13" s="185"/>
      <c r="R13" s="185"/>
      <c r="S13" s="189"/>
      <c r="T13" s="185"/>
      <c r="U13" s="185"/>
    </row>
    <row r="14" spans="1:21" x14ac:dyDescent="0.2">
      <c r="A14" s="200" t="s">
        <v>155</v>
      </c>
      <c r="B14" s="199"/>
      <c r="C14" s="199"/>
      <c r="D14" s="199"/>
      <c r="E14" s="199"/>
      <c r="F14" s="199"/>
      <c r="G14" s="199"/>
      <c r="H14" s="185"/>
      <c r="I14" s="630">
        <f t="shared" si="1"/>
        <v>0</v>
      </c>
      <c r="J14" s="185"/>
      <c r="K14" s="185"/>
      <c r="L14" s="185"/>
      <c r="M14" s="185"/>
      <c r="N14" s="199"/>
      <c r="O14" s="185"/>
      <c r="P14" s="185"/>
      <c r="Q14" s="185"/>
      <c r="R14" s="185"/>
      <c r="S14" s="189"/>
      <c r="T14" s="185"/>
      <c r="U14" s="185"/>
    </row>
    <row r="15" spans="1:21" x14ac:dyDescent="0.2">
      <c r="A15" s="733" t="s">
        <v>157</v>
      </c>
      <c r="B15" s="191">
        <f>SUMIF('IE Data Entry'!$B$10:$B$24,'IE SUMMARY'!$S15,'IE Data Entry'!C$10:C$24)</f>
        <v>0</v>
      </c>
      <c r="C15" s="191">
        <f>SUMIF('IE Data Entry'!$B$10:$B$24,'IE SUMMARY'!$S15,'IE Data Entry'!D$10:D$24)</f>
        <v>0</v>
      </c>
      <c r="D15" s="191">
        <f>SUMIF('IE Data Entry'!$B$10:$B$24,'IE SUMMARY'!$S15,'IE Data Entry'!E$10:E$24)</f>
        <v>0</v>
      </c>
      <c r="E15" s="191">
        <f>SUMIF('IE Data Entry'!$B$10:$B$24,'IE SUMMARY'!$S15,'IE Data Entry'!F$10:F$24)</f>
        <v>0</v>
      </c>
      <c r="F15" s="191">
        <f>SUMIF('IE Data Entry'!$B$10:$B$24,'IE SUMMARY'!$S15,'IE Data Entry'!H$10:H$24)</f>
        <v>0</v>
      </c>
      <c r="G15" s="191">
        <f>SUMIF('IE Data Entry'!$B$10:$B$24,'IE SUMMARY'!$S15,'IE Data Entry'!I$10:I$24)</f>
        <v>0</v>
      </c>
      <c r="H15" s="192">
        <f>+Proforma!F46*12</f>
        <v>0</v>
      </c>
      <c r="I15" s="630">
        <f t="shared" si="1"/>
        <v>0</v>
      </c>
      <c r="J15" s="619"/>
      <c r="K15" s="185"/>
      <c r="L15" s="185"/>
      <c r="M15" s="185"/>
      <c r="O15" s="186"/>
      <c r="P15" s="185"/>
      <c r="Q15" s="185"/>
      <c r="R15" s="185"/>
      <c r="S15" s="189">
        <v>4403</v>
      </c>
      <c r="T15" s="185"/>
      <c r="U15" s="185"/>
    </row>
    <row r="16" spans="1:21" x14ac:dyDescent="0.2">
      <c r="A16" s="733" t="s">
        <v>158</v>
      </c>
      <c r="B16" s="191">
        <f>SUMIF('IE Data Entry'!$B$10:$B$24,'IE SUMMARY'!$S16,'IE Data Entry'!C$10:C$24)</f>
        <v>0</v>
      </c>
      <c r="C16" s="191">
        <f>SUMIF('IE Data Entry'!$B$10:$B$24,'IE SUMMARY'!$S16,'IE Data Entry'!D$10:D$24)</f>
        <v>0</v>
      </c>
      <c r="D16" s="191">
        <f>SUMIF('IE Data Entry'!$B$10:$B$24,'IE SUMMARY'!$S16,'IE Data Entry'!E$10:E$24)</f>
        <v>0</v>
      </c>
      <c r="E16" s="191">
        <f>SUMIF('IE Data Entry'!$B$10:$B$24,'IE SUMMARY'!$S16,'IE Data Entry'!F$10:F$24)</f>
        <v>0</v>
      </c>
      <c r="F16" s="191">
        <f>SUMIF('IE Data Entry'!$B$10:$B$24,'IE SUMMARY'!$S16,'IE Data Entry'!H$10:H$24)</f>
        <v>0</v>
      </c>
      <c r="G16" s="191">
        <f>SUMIF('IE Data Entry'!$B$10:$B$24,'IE SUMMARY'!$S16,'IE Data Entry'!I$10:I$24)</f>
        <v>0</v>
      </c>
      <c r="H16" s="192">
        <f>+Proforma!F47*12</f>
        <v>0</v>
      </c>
      <c r="I16" s="630">
        <f t="shared" si="1"/>
        <v>0</v>
      </c>
      <c r="J16" s="619"/>
      <c r="K16" s="185"/>
      <c r="L16" s="185"/>
      <c r="M16" s="185"/>
      <c r="O16" s="186"/>
      <c r="P16" s="185"/>
      <c r="Q16" s="185"/>
      <c r="R16" s="185"/>
      <c r="S16" s="189">
        <v>4401</v>
      </c>
      <c r="T16" s="185"/>
      <c r="U16" s="185"/>
    </row>
    <row r="17" spans="1:21" x14ac:dyDescent="0.2">
      <c r="A17" s="733" t="s">
        <v>159</v>
      </c>
      <c r="B17" s="191">
        <f>SUMIF('IE Data Entry'!$B$10:$B$24,'IE SUMMARY'!$S17,'IE Data Entry'!C$10:C$24)</f>
        <v>0</v>
      </c>
      <c r="C17" s="191">
        <f>SUMIF('IE Data Entry'!$B$10:$B$24,'IE SUMMARY'!$S17,'IE Data Entry'!D$10:D$24)</f>
        <v>0</v>
      </c>
      <c r="D17" s="191">
        <f>SUMIF('IE Data Entry'!$B$10:$B$24,'IE SUMMARY'!$S17,'IE Data Entry'!E$10:E$24)</f>
        <v>0</v>
      </c>
      <c r="E17" s="191">
        <f>SUMIF('IE Data Entry'!$B$10:$B$24,'IE SUMMARY'!$S17,'IE Data Entry'!F$10:F$24)</f>
        <v>0</v>
      </c>
      <c r="F17" s="191">
        <f>SUMIF('IE Data Entry'!$B$10:$B$24,'IE SUMMARY'!$S17,'IE Data Entry'!H$10:H$24)</f>
        <v>0</v>
      </c>
      <c r="G17" s="191">
        <f>SUMIF('IE Data Entry'!$B$10:$B$24,'IE SUMMARY'!$S17,'IE Data Entry'!I$10:I$24)</f>
        <v>0</v>
      </c>
      <c r="H17" s="192">
        <f>+Proforma!F48*12</f>
        <v>0</v>
      </c>
      <c r="I17" s="630">
        <f t="shared" si="1"/>
        <v>0</v>
      </c>
      <c r="J17" s="619"/>
      <c r="K17" s="185"/>
      <c r="L17" s="185"/>
      <c r="M17" s="185"/>
      <c r="O17" s="186"/>
      <c r="P17" s="185"/>
      <c r="Q17" s="185"/>
      <c r="R17" s="185"/>
      <c r="S17" s="189">
        <v>4404</v>
      </c>
      <c r="T17" s="185"/>
      <c r="U17" s="185"/>
    </row>
    <row r="18" spans="1:21" x14ac:dyDescent="0.2">
      <c r="A18" s="733" t="s">
        <v>160</v>
      </c>
      <c r="B18" s="191">
        <f>SUMIF('IE Data Entry'!$B$10:$B$24,'IE SUMMARY'!$S18,'IE Data Entry'!C$10:C$24)</f>
        <v>0</v>
      </c>
      <c r="C18" s="191">
        <f>SUMIF('IE Data Entry'!$B$10:$B$24,'IE SUMMARY'!$S18,'IE Data Entry'!D$10:D$24)</f>
        <v>0</v>
      </c>
      <c r="D18" s="191">
        <f>SUMIF('IE Data Entry'!$B$10:$B$24,'IE SUMMARY'!$S18,'IE Data Entry'!E$10:E$24)</f>
        <v>0</v>
      </c>
      <c r="E18" s="191">
        <f>SUMIF('IE Data Entry'!$B$10:$B$24,'IE SUMMARY'!$S18,'IE Data Entry'!F$10:F$24)</f>
        <v>0</v>
      </c>
      <c r="F18" s="191">
        <f>SUMIF('IE Data Entry'!$B$10:$B$24,'IE SUMMARY'!$S18,'IE Data Entry'!H$10:H$24)</f>
        <v>0</v>
      </c>
      <c r="G18" s="191">
        <f>SUMIF('IE Data Entry'!$B$10:$B$24,'IE SUMMARY'!$S18,'IE Data Entry'!I$10:I$24)</f>
        <v>0</v>
      </c>
      <c r="H18" s="192">
        <f>+Proforma!F49*12</f>
        <v>0</v>
      </c>
      <c r="I18" s="630">
        <f t="shared" si="1"/>
        <v>0</v>
      </c>
      <c r="J18" s="619"/>
      <c r="K18" s="185"/>
      <c r="L18" s="185"/>
      <c r="M18" s="185"/>
      <c r="O18" s="186"/>
      <c r="P18" s="185"/>
      <c r="Q18" s="185"/>
      <c r="R18" s="185"/>
      <c r="S18" s="189">
        <v>4405</v>
      </c>
      <c r="T18" s="185"/>
      <c r="U18" s="185"/>
    </row>
    <row r="19" spans="1:21" x14ac:dyDescent="0.2">
      <c r="A19" s="733" t="s">
        <v>161</v>
      </c>
      <c r="B19" s="191">
        <f>SUMIF('IE Data Entry'!$B$10:$B$24,'IE SUMMARY'!$S19,'IE Data Entry'!C$10:C$24)</f>
        <v>0</v>
      </c>
      <c r="C19" s="191">
        <f>SUMIF('IE Data Entry'!$B$10:$B$24,'IE SUMMARY'!$S19,'IE Data Entry'!D$10:D$24)</f>
        <v>0</v>
      </c>
      <c r="D19" s="191">
        <f>SUMIF('IE Data Entry'!$B$10:$B$24,'IE SUMMARY'!$S19,'IE Data Entry'!E$10:E$24)</f>
        <v>0</v>
      </c>
      <c r="E19" s="191">
        <f>SUMIF('IE Data Entry'!$B$10:$B$24,'IE SUMMARY'!$S19,'IE Data Entry'!F$10:F$24)</f>
        <v>0</v>
      </c>
      <c r="F19" s="191">
        <f>SUMIF('IE Data Entry'!$B$10:$B$24,'IE SUMMARY'!$S19,'IE Data Entry'!H$10:H$24)</f>
        <v>0</v>
      </c>
      <c r="G19" s="191">
        <f>SUMIF('IE Data Entry'!$B$10:$B$24,'IE SUMMARY'!$S19,'IE Data Entry'!I$10:I$24)</f>
        <v>0</v>
      </c>
      <c r="H19" s="192">
        <f>+Proforma!F50*12</f>
        <v>74139</v>
      </c>
      <c r="I19" s="630">
        <f t="shared" si="1"/>
        <v>74139</v>
      </c>
      <c r="J19" s="619"/>
      <c r="K19" s="185" t="str">
        <f>IF(ISERROR((+(G21-E21)/E21)),"",(+(G21-E21)/E21))</f>
        <v/>
      </c>
      <c r="L19" s="193" t="s">
        <v>524</v>
      </c>
      <c r="M19" s="185"/>
      <c r="O19" s="186"/>
      <c r="P19" s="185"/>
      <c r="Q19" s="185"/>
      <c r="R19" s="185"/>
      <c r="S19" s="189">
        <v>4402</v>
      </c>
      <c r="T19" s="185"/>
      <c r="U19" s="185"/>
    </row>
    <row r="20" spans="1:21" x14ac:dyDescent="0.2">
      <c r="A20" s="733" t="s">
        <v>162</v>
      </c>
      <c r="B20" s="191">
        <f>SUMIF('IE Data Entry'!$B$10:$B$24,'IE SUMMARY'!$S20,'IE Data Entry'!C$10:C$24)</f>
        <v>0</v>
      </c>
      <c r="C20" s="191">
        <f>SUMIF('IE Data Entry'!$B$10:$B$24,'IE SUMMARY'!$S20,'IE Data Entry'!D$10:D$24)</f>
        <v>0</v>
      </c>
      <c r="D20" s="191">
        <f>SUMIF('IE Data Entry'!$B$10:$B$24,'IE SUMMARY'!$S20,'IE Data Entry'!E$10:E$24)</f>
        <v>0</v>
      </c>
      <c r="E20" s="191">
        <f>SUMIF('IE Data Entry'!$B$10:$B$24,'IE SUMMARY'!$S20,'IE Data Entry'!F$10:F$24)</f>
        <v>0</v>
      </c>
      <c r="F20" s="191">
        <f>SUMIF('IE Data Entry'!$B$10:$B$24,'IE SUMMARY'!$S20,'IE Data Entry'!H$10:H$24)</f>
        <v>0</v>
      </c>
      <c r="G20" s="191">
        <f>SUMIF('IE Data Entry'!$B$10:$B$24,'IE SUMMARY'!$S20,'IE Data Entry'!I$10:I$24)</f>
        <v>0</v>
      </c>
      <c r="H20" s="194">
        <f>+Proforma!F51*12</f>
        <v>0</v>
      </c>
      <c r="I20" s="630">
        <f t="shared" si="1"/>
        <v>0</v>
      </c>
      <c r="J20" s="619"/>
      <c r="K20" s="195" t="str">
        <f>IF(ISERROR((+(G21-F21)/F21)),"",(+(G21-F21)/F21))</f>
        <v/>
      </c>
      <c r="L20" s="193" t="s">
        <v>526</v>
      </c>
      <c r="M20" s="185"/>
      <c r="O20" s="186"/>
      <c r="P20" s="185"/>
      <c r="Q20" s="185"/>
      <c r="R20" s="185"/>
      <c r="S20" s="189">
        <v>4998</v>
      </c>
      <c r="T20" s="185"/>
      <c r="U20" s="185"/>
    </row>
    <row r="21" spans="1:21" x14ac:dyDescent="0.2">
      <c r="A21" s="196" t="s">
        <v>163</v>
      </c>
      <c r="B21" s="855">
        <f>SUM(B15:B20)</f>
        <v>0</v>
      </c>
      <c r="C21" s="855">
        <f t="shared" ref="C21:G21" si="3">SUM(C15:C20)</f>
        <v>0</v>
      </c>
      <c r="D21" s="855">
        <f t="shared" si="3"/>
        <v>0</v>
      </c>
      <c r="E21" s="855">
        <f t="shared" si="3"/>
        <v>0</v>
      </c>
      <c r="F21" s="855">
        <f t="shared" si="3"/>
        <v>0</v>
      </c>
      <c r="G21" s="855">
        <f t="shared" si="3"/>
        <v>0</v>
      </c>
      <c r="H21" s="855">
        <f>SUM(H15:H20)</f>
        <v>74139</v>
      </c>
      <c r="I21" s="630">
        <f t="shared" si="1"/>
        <v>74139</v>
      </c>
      <c r="J21" s="619"/>
      <c r="K21" s="195" t="str">
        <f>IF(ISERROR((+(G21-D21)/D21)),"",(+(G21-D21)/D21))</f>
        <v/>
      </c>
      <c r="L21" s="193" t="str">
        <f>"Broker Compared to "&amp;'IE Data Entry'!$B$4</f>
        <v>Broker Compared to 2021</v>
      </c>
      <c r="M21" s="185"/>
      <c r="O21" s="201"/>
      <c r="P21" s="185"/>
      <c r="Q21" s="185"/>
      <c r="R21" s="185"/>
      <c r="S21" s="189"/>
      <c r="T21" s="185"/>
      <c r="U21" s="185"/>
    </row>
    <row r="22" spans="1:21" x14ac:dyDescent="0.2">
      <c r="A22" s="198" t="s">
        <v>527</v>
      </c>
      <c r="B22" s="193"/>
      <c r="C22" s="195" t="str">
        <f>IF(ISERROR((+(C21-B21)/B21)),"",(+(C21-B21)/B21))</f>
        <v/>
      </c>
      <c r="D22" s="195" t="str">
        <f>IF(ISERROR((+(D21-C21)/C21)),"",(+(D21-C21)/C21))</f>
        <v/>
      </c>
      <c r="E22" s="195" t="str">
        <f>IF(ISERROR((+(E21-D21)/D21)),"",(+(E21-D21)/D21))</f>
        <v/>
      </c>
      <c r="F22" s="195" t="str">
        <f>IF(ISERROR((+(F21-D21)/D21)),"",(+(F21-D21)/D21))</f>
        <v/>
      </c>
      <c r="G22" s="195"/>
      <c r="I22" s="637"/>
      <c r="L22" s="185"/>
      <c r="M22" s="185"/>
      <c r="N22" s="195"/>
      <c r="O22" s="186"/>
      <c r="P22" s="185"/>
      <c r="Q22" s="185"/>
      <c r="R22" s="185"/>
      <c r="S22" s="189"/>
      <c r="T22" s="185"/>
      <c r="U22" s="185"/>
    </row>
    <row r="23" spans="1:21" ht="6.75" customHeight="1" x14ac:dyDescent="0.2">
      <c r="A23" s="198"/>
      <c r="B23" s="193"/>
      <c r="C23" s="195"/>
      <c r="D23" s="195"/>
      <c r="E23" s="195"/>
      <c r="F23" s="195"/>
      <c r="G23" s="195"/>
      <c r="H23" s="195"/>
      <c r="I23" s="637"/>
      <c r="J23" s="195"/>
      <c r="K23" s="193"/>
      <c r="L23" s="185"/>
      <c r="M23" s="185"/>
      <c r="N23" s="195"/>
      <c r="O23" s="186"/>
      <c r="P23" s="185"/>
      <c r="Q23" s="185"/>
      <c r="R23" s="185"/>
      <c r="S23" s="189"/>
      <c r="T23" s="185"/>
      <c r="U23" s="185"/>
    </row>
    <row r="24" spans="1:21" x14ac:dyDescent="0.2">
      <c r="A24" s="733" t="s">
        <v>528</v>
      </c>
      <c r="B24" s="191">
        <f>SUMIF('IE Data Entry'!$B$10:$B$24,'IE SUMMARY'!$S24,'IE Data Entry'!C$10:C$24)</f>
        <v>0</v>
      </c>
      <c r="C24" s="191">
        <f>SUMIF('IE Data Entry'!$B$10:$B$24,'IE SUMMARY'!$S24,'IE Data Entry'!D$10:D$24)</f>
        <v>0</v>
      </c>
      <c r="D24" s="191">
        <f>SUMIF('IE Data Entry'!$B$10:$B$24,'IE SUMMARY'!$S24,'IE Data Entry'!E$10:E$24)</f>
        <v>0</v>
      </c>
      <c r="E24" s="191">
        <f>SUMIF('IE Data Entry'!$B$10:$B$24,'IE SUMMARY'!$S24,'IE Data Entry'!F$10:F$24)</f>
        <v>0</v>
      </c>
      <c r="F24" s="191">
        <f>SUMIF('IE Data Entry'!$B$10:$B$24,'IE SUMMARY'!$S24,'IE Data Entry'!H$10:H$24)</f>
        <v>0</v>
      </c>
      <c r="G24" s="191">
        <f>SUMIF('IE Data Entry'!$B$10:$B$24,'IE SUMMARY'!$S24,'IE Data Entry'!I$10:I$24)</f>
        <v>0</v>
      </c>
      <c r="H24" s="202">
        <f>+Proforma!F53*12</f>
        <v>0</v>
      </c>
      <c r="I24" s="630">
        <f t="shared" si="1"/>
        <v>0</v>
      </c>
      <c r="J24" s="191"/>
      <c r="K24" s="193"/>
      <c r="L24" s="185"/>
      <c r="M24" s="185"/>
      <c r="O24" s="186"/>
      <c r="P24" s="185"/>
      <c r="Q24" s="185"/>
      <c r="R24" s="185"/>
      <c r="S24" s="189">
        <v>4134</v>
      </c>
      <c r="T24" s="185"/>
      <c r="U24" s="185"/>
    </row>
    <row r="25" spans="1:21" ht="9" customHeight="1" x14ac:dyDescent="0.2">
      <c r="A25" s="733"/>
      <c r="B25" s="191"/>
      <c r="C25" s="191"/>
      <c r="D25" s="191"/>
      <c r="E25" s="191"/>
      <c r="F25" s="191"/>
      <c r="G25" s="191"/>
      <c r="H25" s="191"/>
      <c r="I25" s="637"/>
      <c r="J25" s="191"/>
      <c r="K25" s="185" t="str">
        <f>IF(ISERROR((+(G27-E27)/E27)),"",(+(G27-E27)/E27))</f>
        <v/>
      </c>
      <c r="L25" s="193" t="s">
        <v>524</v>
      </c>
      <c r="M25" s="185"/>
      <c r="O25" s="186"/>
      <c r="P25" s="185"/>
      <c r="Q25" s="185"/>
      <c r="R25" s="185"/>
      <c r="S25" s="189"/>
      <c r="T25" s="185"/>
      <c r="U25" s="185"/>
    </row>
    <row r="26" spans="1:21" x14ac:dyDescent="0.2">
      <c r="A26" s="200" t="s">
        <v>478</v>
      </c>
      <c r="B26" s="856">
        <f>+B11+B21+B24</f>
        <v>0</v>
      </c>
      <c r="C26" s="856">
        <f t="shared" ref="C26:H26" si="4">+C11+C21+C24</f>
        <v>0</v>
      </c>
      <c r="D26" s="856">
        <f t="shared" si="4"/>
        <v>0</v>
      </c>
      <c r="E26" s="856">
        <f t="shared" si="4"/>
        <v>0</v>
      </c>
      <c r="F26" s="856">
        <f t="shared" si="4"/>
        <v>0</v>
      </c>
      <c r="G26" s="856">
        <f t="shared" si="4"/>
        <v>0</v>
      </c>
      <c r="H26" s="856">
        <f t="shared" si="4"/>
        <v>454393.32</v>
      </c>
      <c r="I26" s="630">
        <f t="shared" si="1"/>
        <v>454393.32</v>
      </c>
      <c r="J26" s="619"/>
      <c r="K26" s="195" t="str">
        <f>IF(ISERROR((+(G26-F26)/F26)),"",(+(G26-F26)/F26))</f>
        <v/>
      </c>
      <c r="L26" s="193" t="s">
        <v>526</v>
      </c>
      <c r="M26" s="185"/>
      <c r="O26" s="186"/>
      <c r="P26" s="185"/>
      <c r="Q26" s="185"/>
      <c r="R26" s="185"/>
      <c r="S26" s="189"/>
      <c r="T26" s="185"/>
      <c r="U26" s="185"/>
    </row>
    <row r="27" spans="1:21" x14ac:dyDescent="0.2">
      <c r="A27" s="198" t="s">
        <v>527</v>
      </c>
      <c r="B27" s="193"/>
      <c r="C27" s="195" t="str">
        <f>IF(ISERROR((+(C26-B26)/B26)),"",(+(C26-B26)/B26))</f>
        <v/>
      </c>
      <c r="D27" s="195" t="str">
        <f>IF(ISERROR((+(D26-C26)/C26)),"",(+(D26-C26)/C26))</f>
        <v/>
      </c>
      <c r="E27" s="195" t="str">
        <f>IF(ISERROR((+(E26-D26)/D26)),"",(+(E26-D26)/D26))</f>
        <v/>
      </c>
      <c r="F27" s="195" t="str">
        <f>IF(ISERROR((+(F26-D26)/D26)),"",(+(F26-D26)/D26))</f>
        <v/>
      </c>
      <c r="G27" s="195"/>
      <c r="I27" s="637"/>
      <c r="K27" s="195" t="str">
        <f>IF(ISERROR((+(G26-D26)/D26)),"",(+(G26-D26)/D26))</f>
        <v/>
      </c>
      <c r="L27" s="193" t="str">
        <f>"Broker Compared to "&amp;'IE Data Entry'!$B$4</f>
        <v>Broker Compared to 2021</v>
      </c>
      <c r="M27" s="185"/>
      <c r="N27" s="195"/>
      <c r="O27" s="185"/>
      <c r="P27" s="185"/>
      <c r="Q27" s="185"/>
      <c r="R27" s="185"/>
      <c r="S27" s="189"/>
      <c r="T27" s="185"/>
      <c r="U27" s="185"/>
    </row>
    <row r="28" spans="1:21" ht="10" customHeight="1" x14ac:dyDescent="0.2">
      <c r="A28" s="733"/>
      <c r="B28" s="165"/>
      <c r="C28" s="165"/>
      <c r="D28" s="165"/>
      <c r="E28" s="165"/>
      <c r="F28" s="165"/>
      <c r="G28" s="185"/>
      <c r="H28" s="195"/>
      <c r="I28" s="637"/>
      <c r="J28" s="195"/>
      <c r="K28" s="203"/>
      <c r="L28" s="186"/>
      <c r="M28" s="186"/>
      <c r="N28" s="186"/>
      <c r="O28" s="186"/>
      <c r="P28" s="186"/>
      <c r="Q28" s="186"/>
      <c r="R28" s="186"/>
      <c r="S28" s="187"/>
      <c r="T28" s="185"/>
      <c r="U28" s="185"/>
    </row>
    <row r="29" spans="1:21" x14ac:dyDescent="0.2">
      <c r="A29" s="906" t="s">
        <v>529</v>
      </c>
      <c r="B29" s="906"/>
      <c r="C29" s="906"/>
      <c r="D29" s="906"/>
      <c r="E29" s="906"/>
      <c r="F29" s="906"/>
      <c r="G29" s="906"/>
      <c r="H29" s="185"/>
      <c r="I29" s="637"/>
      <c r="J29" s="185"/>
      <c r="K29" s="186"/>
      <c r="L29" s="186"/>
      <c r="M29" s="186"/>
      <c r="N29" s="186"/>
      <c r="O29" s="186"/>
      <c r="P29" s="186"/>
      <c r="Q29" s="186"/>
      <c r="R29" s="186"/>
      <c r="S29" s="185"/>
      <c r="T29" s="185"/>
      <c r="U29" s="185"/>
    </row>
    <row r="30" spans="1:21" ht="15" customHeight="1" x14ac:dyDescent="0.2">
      <c r="A30" s="173"/>
      <c r="B30" s="174"/>
      <c r="C30" s="174"/>
      <c r="D30" s="174"/>
      <c r="E30" s="174"/>
      <c r="H30" s="174"/>
      <c r="I30" s="637"/>
      <c r="J30" s="174"/>
      <c r="K30" s="204"/>
      <c r="L30" s="204"/>
      <c r="M30" s="204"/>
      <c r="N30" s="188"/>
      <c r="O30" s="204"/>
      <c r="P30" s="204"/>
      <c r="Q30" s="204"/>
      <c r="R30" s="204"/>
    </row>
    <row r="31" spans="1:21" ht="17" thickBot="1" x14ac:dyDescent="0.25">
      <c r="A31" s="173" t="s">
        <v>530</v>
      </c>
      <c r="B31" s="175">
        <f>+'IE Data Entry'!C29</f>
        <v>2019</v>
      </c>
      <c r="C31" s="175">
        <f>+'IE Data Entry'!D29</f>
        <v>2020</v>
      </c>
      <c r="D31" s="175">
        <f>+'IE Data Entry'!E29</f>
        <v>2021</v>
      </c>
      <c r="E31" s="175" t="str">
        <f>+'IE Data Entry'!F29</f>
        <v>Trailing 12</v>
      </c>
      <c r="F31" s="205" t="str">
        <f>Current_Year&amp;" Annualized"</f>
        <v>2022 Annualized</v>
      </c>
      <c r="G31" s="205" t="s">
        <v>518</v>
      </c>
      <c r="H31" s="175" t="s">
        <v>531</v>
      </c>
      <c r="I31" s="638" t="str">
        <f t="shared" si="1"/>
        <v>BVG Yr 1 Projection</v>
      </c>
      <c r="J31" s="174"/>
      <c r="K31" s="204"/>
      <c r="L31" s="204"/>
      <c r="M31" s="204"/>
      <c r="N31" s="188"/>
      <c r="O31" s="204"/>
      <c r="P31" s="204"/>
      <c r="Q31" s="204"/>
      <c r="R31" s="204"/>
      <c r="S31" s="187" t="s">
        <v>532</v>
      </c>
    </row>
    <row r="32" spans="1:21" x14ac:dyDescent="0.2">
      <c r="A32" s="734" t="s">
        <v>533</v>
      </c>
      <c r="B32" s="206">
        <f>SUMIF('IE Data Entry'!$B$30:$B$100,'IE SUMMARY'!$S32,'IE Data Entry'!C$30:C$100)</f>
        <v>0</v>
      </c>
      <c r="C32" s="206">
        <f>SUMIF('IE Data Entry'!$B$30:$B$100,'IE SUMMARY'!$S32,'IE Data Entry'!D$30:D$100)</f>
        <v>0</v>
      </c>
      <c r="D32" s="206">
        <f>SUMIF('IE Data Entry'!$B$30:$B$100,'IE SUMMARY'!$S32,'IE Data Entry'!E$30:E$100)</f>
        <v>0</v>
      </c>
      <c r="E32" s="206">
        <f>SUMIF('IE Data Entry'!$B$30:$B$100,'IE SUMMARY'!$S32,'IE Data Entry'!F$30:F$100)</f>
        <v>0</v>
      </c>
      <c r="F32" s="206">
        <f>SUMIF('IE Data Entry'!$B$30:$B$100,'IE SUMMARY'!$S32,'IE Data Entry'!H$30:H$100)</f>
        <v>0</v>
      </c>
      <c r="G32" s="206">
        <f>SUMIF('IE Data Entry'!$B$30:$B$100,'IE SUMMARY'!$S32,'IE Data Entry'!I$30:I$100)</f>
        <v>0</v>
      </c>
      <c r="H32" s="207">
        <f>+Proforma!F58*12</f>
        <v>70000</v>
      </c>
      <c r="I32" s="630">
        <f t="shared" si="1"/>
        <v>70000</v>
      </c>
      <c r="J32" s="212"/>
      <c r="K32" s="208"/>
      <c r="L32" s="208"/>
      <c r="M32" s="208"/>
      <c r="N32" s="188"/>
      <c r="O32" s="208"/>
      <c r="P32" s="208"/>
      <c r="Q32" s="208"/>
      <c r="R32" s="208"/>
      <c r="S32" s="189">
        <v>5701</v>
      </c>
    </row>
    <row r="33" spans="1:19" x14ac:dyDescent="0.2">
      <c r="A33" s="734" t="s">
        <v>175</v>
      </c>
      <c r="B33" s="209">
        <f>SUMIF('IE Data Entry'!$B$30:$B$100,'IE SUMMARY'!$S33,'IE Data Entry'!C$30:C$100)</f>
        <v>0</v>
      </c>
      <c r="C33" s="209">
        <f>SUMIF('IE Data Entry'!$B$30:$B$100,'IE SUMMARY'!$S33,'IE Data Entry'!D$30:D$100)</f>
        <v>0</v>
      </c>
      <c r="D33" s="209">
        <f>SUMIF('IE Data Entry'!$B$30:$B$100,'IE SUMMARY'!$S33,'IE Data Entry'!E$30:E$100)</f>
        <v>0</v>
      </c>
      <c r="E33" s="209">
        <f>SUMIF('IE Data Entry'!$B$30:$B$100,'IE SUMMARY'!$S33,'IE Data Entry'!F$30:F$100)</f>
        <v>0</v>
      </c>
      <c r="F33" s="209">
        <f>SUMIF('IE Data Entry'!$B$30:$B$100,'IE SUMMARY'!$S33,'IE Data Entry'!H$30:H$100)</f>
        <v>0</v>
      </c>
      <c r="G33" s="209">
        <f>SUMIF('IE Data Entry'!$B$30:$B$100,'IE SUMMARY'!$S33,'IE Data Entry'!I$30:I$100)</f>
        <v>0</v>
      </c>
      <c r="H33" s="210">
        <f>+Proforma!F59*12</f>
        <v>11900</v>
      </c>
      <c r="I33" s="630">
        <f t="shared" si="1"/>
        <v>11900</v>
      </c>
      <c r="J33" s="212"/>
      <c r="K33" s="208"/>
      <c r="L33" s="208"/>
      <c r="M33" s="208"/>
      <c r="N33" s="188"/>
      <c r="O33" s="208"/>
      <c r="P33" s="208"/>
      <c r="Q33" s="208"/>
      <c r="R33" s="208"/>
      <c r="S33" s="189">
        <v>5305</v>
      </c>
    </row>
    <row r="34" spans="1:19" x14ac:dyDescent="0.2">
      <c r="A34" s="734" t="s">
        <v>176</v>
      </c>
      <c r="B34" s="209">
        <f>SUMIF('IE Data Entry'!$B$30:$B$100,'IE SUMMARY'!$S34,'IE Data Entry'!C$30:C$100)</f>
        <v>0</v>
      </c>
      <c r="C34" s="209">
        <f>SUMIF('IE Data Entry'!$B$30:$B$100,'IE SUMMARY'!$S34,'IE Data Entry'!D$30:D$100)</f>
        <v>0</v>
      </c>
      <c r="D34" s="209">
        <f>SUMIF('IE Data Entry'!$B$30:$B$100,'IE SUMMARY'!$S34,'IE Data Entry'!E$30:E$100)</f>
        <v>0</v>
      </c>
      <c r="E34" s="209">
        <f>SUMIF('IE Data Entry'!$B$30:$B$100,'IE SUMMARY'!$S34,'IE Data Entry'!F$30:F$100)</f>
        <v>0</v>
      </c>
      <c r="F34" s="209">
        <f>SUMIF('IE Data Entry'!$B$30:$B$100,'IE SUMMARY'!$S34,'IE Data Entry'!H$30:H$100)</f>
        <v>0</v>
      </c>
      <c r="G34" s="209">
        <f>SUMIF('IE Data Entry'!$B$30:$B$100,'IE SUMMARY'!$S34,'IE Data Entry'!I$30:I$100)</f>
        <v>0</v>
      </c>
      <c r="H34" s="210">
        <f>+Proforma!F60*12</f>
        <v>4200</v>
      </c>
      <c r="I34" s="630">
        <f t="shared" si="1"/>
        <v>4200</v>
      </c>
      <c r="J34" s="212"/>
      <c r="K34" s="208"/>
      <c r="L34" s="208"/>
      <c r="M34" s="208"/>
      <c r="N34" s="188"/>
      <c r="O34" s="208"/>
      <c r="P34" s="208"/>
      <c r="Q34" s="208"/>
      <c r="R34" s="208"/>
      <c r="S34" s="189">
        <v>5306</v>
      </c>
    </row>
    <row r="35" spans="1:19" x14ac:dyDescent="0.2">
      <c r="A35" s="734" t="s">
        <v>157</v>
      </c>
      <c r="B35" s="209">
        <f>SUMIF('IE Data Entry'!$B$30:$B$100,'IE SUMMARY'!$S35,'IE Data Entry'!C$30:C$100)</f>
        <v>0</v>
      </c>
      <c r="C35" s="209">
        <f>SUMIF('IE Data Entry'!$B$30:$B$100,'IE SUMMARY'!$S35,'IE Data Entry'!D$30:D$100)</f>
        <v>0</v>
      </c>
      <c r="D35" s="209">
        <f>SUMIF('IE Data Entry'!$B$30:$B$100,'IE SUMMARY'!$S35,'IE Data Entry'!E$30:E$100)</f>
        <v>0</v>
      </c>
      <c r="E35" s="209">
        <f>SUMIF('IE Data Entry'!$B$30:$B$100,'IE SUMMARY'!$S35,'IE Data Entry'!F$30:F$100)</f>
        <v>0</v>
      </c>
      <c r="F35" s="209">
        <f>SUMIF('IE Data Entry'!$B$30:$B$100,'IE SUMMARY'!$S35,'IE Data Entry'!H$30:H$100)</f>
        <v>0</v>
      </c>
      <c r="G35" s="209">
        <f>SUMIF('IE Data Entry'!$B$30:$B$100,'IE SUMMARY'!$S35,'IE Data Entry'!I$30:I$100)</f>
        <v>0</v>
      </c>
      <c r="H35" s="210">
        <f>+Proforma!F61*12</f>
        <v>23913.9</v>
      </c>
      <c r="I35" s="630">
        <f t="shared" si="1"/>
        <v>23913.9</v>
      </c>
      <c r="J35" s="212"/>
      <c r="K35" s="208"/>
      <c r="L35" s="208"/>
      <c r="M35" s="208"/>
      <c r="N35" s="188"/>
      <c r="O35" s="208"/>
      <c r="P35" s="208"/>
      <c r="Q35" s="208"/>
      <c r="R35" s="208"/>
      <c r="S35" s="189">
        <v>5404</v>
      </c>
    </row>
    <row r="36" spans="1:19" x14ac:dyDescent="0.2">
      <c r="A36" s="734" t="s">
        <v>534</v>
      </c>
      <c r="B36" s="209">
        <f>SUMIF('IE Data Entry'!$B$30:$B$100,'IE SUMMARY'!$S36,'IE Data Entry'!C$30:C$100)</f>
        <v>0</v>
      </c>
      <c r="C36" s="209">
        <f>SUMIF('IE Data Entry'!$B$30:$B$100,'IE SUMMARY'!$S36,'IE Data Entry'!D$30:D$100)</f>
        <v>0</v>
      </c>
      <c r="D36" s="209">
        <f>SUMIF('IE Data Entry'!$B$30:$B$100,'IE SUMMARY'!$S36,'IE Data Entry'!E$30:E$100)</f>
        <v>0</v>
      </c>
      <c r="E36" s="209">
        <f>SUMIF('IE Data Entry'!$B$30:$B$100,'IE SUMMARY'!$S36,'IE Data Entry'!F$30:F$100)</f>
        <v>0</v>
      </c>
      <c r="F36" s="209">
        <f>SUMIF('IE Data Entry'!$B$30:$B$100,'IE SUMMARY'!$S36,'IE Data Entry'!H$30:H$100)</f>
        <v>0</v>
      </c>
      <c r="G36" s="209">
        <f>SUMIF('IE Data Entry'!$B$30:$B$100,'IE SUMMARY'!$S36,'IE Data Entry'!I$30:I$100)</f>
        <v>0</v>
      </c>
      <c r="H36" s="210">
        <f>+Proforma!F62*12</f>
        <v>2977.38</v>
      </c>
      <c r="I36" s="630">
        <f t="shared" si="1"/>
        <v>2977.38</v>
      </c>
      <c r="J36" s="212"/>
      <c r="K36" s="208"/>
      <c r="L36" s="208"/>
      <c r="M36" s="208"/>
      <c r="N36" s="188"/>
      <c r="O36" s="208"/>
      <c r="P36" s="208"/>
      <c r="Q36" s="208"/>
      <c r="R36" s="208"/>
      <c r="S36" s="189">
        <v>5401</v>
      </c>
    </row>
    <row r="37" spans="1:19" x14ac:dyDescent="0.2">
      <c r="A37" s="734" t="s">
        <v>159</v>
      </c>
      <c r="B37" s="209">
        <f>SUMIF('IE Data Entry'!$B$30:$B$100,'IE SUMMARY'!$S37,'IE Data Entry'!C$30:C$100)</f>
        <v>0</v>
      </c>
      <c r="C37" s="209">
        <f>SUMIF('IE Data Entry'!$B$30:$B$100,'IE SUMMARY'!$S37,'IE Data Entry'!D$30:D$100)</f>
        <v>0</v>
      </c>
      <c r="D37" s="209">
        <f>SUMIF('IE Data Entry'!$B$30:$B$100,'IE SUMMARY'!$S37,'IE Data Entry'!E$30:E$100)</f>
        <v>0</v>
      </c>
      <c r="E37" s="209">
        <f>SUMIF('IE Data Entry'!$B$30:$B$100,'IE SUMMARY'!$S37,'IE Data Entry'!F$30:F$100)</f>
        <v>0</v>
      </c>
      <c r="F37" s="209">
        <f>SUMIF('IE Data Entry'!$B$30:$B$100,'IE SUMMARY'!$S37,'IE Data Entry'!H$30:H$100)</f>
        <v>0</v>
      </c>
      <c r="G37" s="209">
        <f>SUMIF('IE Data Entry'!$B$30:$B$100,'IE SUMMARY'!$S37,'IE Data Entry'!I$30:I$100)</f>
        <v>0</v>
      </c>
      <c r="H37" s="210">
        <f>+Proforma!F63*12</f>
        <v>13461.960000000003</v>
      </c>
      <c r="I37" s="630">
        <f t="shared" si="1"/>
        <v>13461.960000000003</v>
      </c>
      <c r="J37" s="212"/>
      <c r="K37" s="208"/>
      <c r="L37" s="208"/>
      <c r="M37" s="208"/>
      <c r="N37" s="188"/>
      <c r="O37" s="208"/>
      <c r="P37" s="208"/>
      <c r="Q37" s="208"/>
      <c r="R37" s="208"/>
      <c r="S37" s="189">
        <v>5405</v>
      </c>
    </row>
    <row r="38" spans="1:19" x14ac:dyDescent="0.2">
      <c r="A38" s="734" t="s">
        <v>178</v>
      </c>
      <c r="B38" s="209">
        <f>SUMIF('IE Data Entry'!$B$30:$B$100,'IE SUMMARY'!$S38,'IE Data Entry'!C$30:C$100)</f>
        <v>0</v>
      </c>
      <c r="C38" s="209">
        <f>SUMIF('IE Data Entry'!$B$30:$B$100,'IE SUMMARY'!$S38,'IE Data Entry'!D$30:D$100)</f>
        <v>0</v>
      </c>
      <c r="D38" s="209">
        <f>SUMIF('IE Data Entry'!$B$30:$B$100,'IE SUMMARY'!$S38,'IE Data Entry'!E$30:E$100)</f>
        <v>0</v>
      </c>
      <c r="E38" s="209">
        <f>SUMIF('IE Data Entry'!$B$30:$B$100,'IE SUMMARY'!$S38,'IE Data Entry'!F$30:F$100)</f>
        <v>0</v>
      </c>
      <c r="F38" s="209">
        <f>SUMIF('IE Data Entry'!$B$30:$B$100,'IE SUMMARY'!$S38,'IE Data Entry'!H$30:H$100)</f>
        <v>0</v>
      </c>
      <c r="G38" s="209">
        <f>SUMIF('IE Data Entry'!$B$30:$B$100,'IE SUMMARY'!$S38,'IE Data Entry'!I$30:I$100)</f>
        <v>0</v>
      </c>
      <c r="H38" s="210">
        <f>+Proforma!F64*12</f>
        <v>15808.98</v>
      </c>
      <c r="I38" s="630">
        <f t="shared" si="1"/>
        <v>15808.98</v>
      </c>
      <c r="J38" s="212"/>
      <c r="K38" s="208"/>
      <c r="L38" s="208"/>
      <c r="M38" s="208"/>
      <c r="N38" s="188"/>
      <c r="O38" s="208"/>
      <c r="P38" s="208"/>
      <c r="Q38" s="208"/>
      <c r="R38" s="208"/>
      <c r="S38" s="189">
        <v>5403</v>
      </c>
    </row>
    <row r="39" spans="1:19" x14ac:dyDescent="0.2">
      <c r="A39" s="734" t="s">
        <v>179</v>
      </c>
      <c r="B39" s="209">
        <f>SUMIF('IE Data Entry'!$B$30:$B$100,'IE SUMMARY'!$S39,'IE Data Entry'!C$30:C$100)</f>
        <v>0</v>
      </c>
      <c r="C39" s="209">
        <f>SUMIF('IE Data Entry'!$B$30:$B$100,'IE SUMMARY'!$S39,'IE Data Entry'!D$30:D$100)</f>
        <v>0</v>
      </c>
      <c r="D39" s="209">
        <f>SUMIF('IE Data Entry'!$B$30:$B$100,'IE SUMMARY'!$S39,'IE Data Entry'!E$30:E$100)</f>
        <v>0</v>
      </c>
      <c r="E39" s="209">
        <f>SUMIF('IE Data Entry'!$B$30:$B$100,'IE SUMMARY'!$S39,'IE Data Entry'!F$30:F$100)</f>
        <v>0</v>
      </c>
      <c r="F39" s="209">
        <f>SUMIF('IE Data Entry'!$B$30:$B$100,'IE SUMMARY'!$S39,'IE Data Entry'!H$30:H$100)</f>
        <v>0</v>
      </c>
      <c r="G39" s="209">
        <f>SUMIF('IE Data Entry'!$B$30:$B$100,'IE SUMMARY'!$S39,'IE Data Entry'!I$30:I$100)</f>
        <v>0</v>
      </c>
      <c r="H39" s="210">
        <f ca="1">+Proforma!F65*12</f>
        <v>0</v>
      </c>
      <c r="I39" s="630">
        <f t="shared" ca="1" si="1"/>
        <v>0</v>
      </c>
      <c r="J39" s="212"/>
      <c r="K39" s="208"/>
      <c r="L39" s="208"/>
      <c r="M39" s="208"/>
      <c r="N39" s="188"/>
      <c r="O39" s="208"/>
      <c r="P39" s="208"/>
      <c r="Q39" s="208"/>
      <c r="R39" s="208"/>
      <c r="S39" s="189">
        <v>5402</v>
      </c>
    </row>
    <row r="40" spans="1:19" x14ac:dyDescent="0.2">
      <c r="A40" s="734" t="s">
        <v>535</v>
      </c>
      <c r="B40" s="209">
        <f>SUMIF('IE Data Entry'!$B$30:$B$100,'IE SUMMARY'!$S40,'IE Data Entry'!C$30:C$100)</f>
        <v>0</v>
      </c>
      <c r="C40" s="209">
        <f>SUMIF('IE Data Entry'!$B$30:$B$100,'IE SUMMARY'!$S40,'IE Data Entry'!D$30:D$100)</f>
        <v>0</v>
      </c>
      <c r="D40" s="209">
        <f>SUMIF('IE Data Entry'!$B$30:$B$100,'IE SUMMARY'!$S40,'IE Data Entry'!E$30:E$100)</f>
        <v>0</v>
      </c>
      <c r="E40" s="209">
        <f>SUMIF('IE Data Entry'!$B$30:$B$100,'IE SUMMARY'!$S40,'IE Data Entry'!F$30:F$100)</f>
        <v>0</v>
      </c>
      <c r="F40" s="209">
        <f>SUMIF('IE Data Entry'!$B$30:$B$100,'IE SUMMARY'!$S40,'IE Data Entry'!H$30:H$100)</f>
        <v>0</v>
      </c>
      <c r="G40" s="209">
        <f>SUMIF('IE Data Entry'!$B$30:$B$100,'IE SUMMARY'!$S40,'IE Data Entry'!I$30:I$100)</f>
        <v>0</v>
      </c>
      <c r="H40" s="210">
        <f>+Proforma!F66*12</f>
        <v>1080</v>
      </c>
      <c r="I40" s="630">
        <f t="shared" si="1"/>
        <v>1080</v>
      </c>
      <c r="J40" s="212"/>
      <c r="K40" s="208"/>
      <c r="L40" s="208"/>
      <c r="M40" s="208"/>
      <c r="N40" s="188"/>
      <c r="O40" s="208"/>
      <c r="P40" s="208"/>
      <c r="Q40" s="208"/>
      <c r="R40" s="208"/>
      <c r="S40" s="189">
        <v>5603</v>
      </c>
    </row>
    <row r="41" spans="1:19" x14ac:dyDescent="0.2">
      <c r="A41" s="734" t="s">
        <v>181</v>
      </c>
      <c r="B41" s="209">
        <f>SUMIF('IE Data Entry'!$B$30:$B$100,'IE SUMMARY'!$S41,'IE Data Entry'!C$30:C$100)</f>
        <v>0</v>
      </c>
      <c r="C41" s="209">
        <f>SUMIF('IE Data Entry'!$B$30:$B$100,'IE SUMMARY'!$S41,'IE Data Entry'!D$30:D$100)</f>
        <v>0</v>
      </c>
      <c r="D41" s="209">
        <f>SUMIF('IE Data Entry'!$B$30:$B$100,'IE SUMMARY'!$S41,'IE Data Entry'!E$30:E$100)</f>
        <v>0</v>
      </c>
      <c r="E41" s="209">
        <f>SUMIF('IE Data Entry'!$B$30:$B$100,'IE SUMMARY'!$S41,'IE Data Entry'!F$30:F$100)</f>
        <v>0</v>
      </c>
      <c r="F41" s="209">
        <f>SUMIF('IE Data Entry'!$B$30:$B$100,'IE SUMMARY'!$S41,'IE Data Entry'!H$30:H$100)</f>
        <v>0</v>
      </c>
      <c r="G41" s="209">
        <f>SUMIF('IE Data Entry'!$B$30:$B$100,'IE SUMMARY'!$S41,'IE Data Entry'!I$30:I$100)</f>
        <v>0</v>
      </c>
      <c r="H41" s="210">
        <f>+Proforma!F67*12</f>
        <v>2500</v>
      </c>
      <c r="I41" s="630">
        <f t="shared" si="1"/>
        <v>2500</v>
      </c>
      <c r="J41" s="212"/>
      <c r="K41" s="208"/>
      <c r="L41" s="208"/>
      <c r="M41" s="208"/>
      <c r="N41" s="188"/>
      <c r="O41" s="208"/>
      <c r="P41" s="208"/>
      <c r="Q41" s="208"/>
      <c r="R41" s="208"/>
      <c r="S41" s="189">
        <v>5020</v>
      </c>
    </row>
    <row r="42" spans="1:19" x14ac:dyDescent="0.2">
      <c r="A42" s="734" t="s">
        <v>514</v>
      </c>
      <c r="B42" s="209">
        <f>SUMIF('IE Data Entry'!$B$30:$B$100,'IE SUMMARY'!$S42,'IE Data Entry'!C$30:C$100)</f>
        <v>0</v>
      </c>
      <c r="C42" s="209">
        <f>SUMIF('IE Data Entry'!$B$30:$B$100,'IE SUMMARY'!$S42,'IE Data Entry'!D$30:D$100)</f>
        <v>0</v>
      </c>
      <c r="D42" s="209">
        <f>SUMIF('IE Data Entry'!$B$30:$B$100,'IE SUMMARY'!$S42,'IE Data Entry'!E$30:E$100)</f>
        <v>0</v>
      </c>
      <c r="E42" s="209">
        <f>SUMIF('IE Data Entry'!$B$30:$B$100,'IE SUMMARY'!$S42,'IE Data Entry'!F$30:F$100)</f>
        <v>0</v>
      </c>
      <c r="F42" s="209">
        <f>SUMIF('IE Data Entry'!$B$30:$B$100,'IE SUMMARY'!$S42,'IE Data Entry'!H$30:H$100)</f>
        <v>0</v>
      </c>
      <c r="G42" s="209">
        <f>SUMIF('IE Data Entry'!$B$30:$B$100,'IE SUMMARY'!$S42,'IE Data Entry'!I$30:I$100)</f>
        <v>0</v>
      </c>
      <c r="H42" s="210">
        <f>+Proforma!F68*12</f>
        <v>55600</v>
      </c>
      <c r="I42" s="630">
        <f t="shared" si="1"/>
        <v>55600</v>
      </c>
      <c r="J42" s="212"/>
      <c r="K42" s="208"/>
      <c r="L42" s="208"/>
      <c r="M42" s="208"/>
      <c r="N42" s="188"/>
      <c r="O42" s="208"/>
      <c r="P42" s="208"/>
      <c r="Q42" s="208"/>
      <c r="R42" s="208"/>
      <c r="S42" s="189">
        <v>5104</v>
      </c>
    </row>
    <row r="43" spans="1:19" x14ac:dyDescent="0.2">
      <c r="A43" s="734" t="s">
        <v>182</v>
      </c>
      <c r="B43" s="209">
        <f>SUMIF('IE Data Entry'!$B$30:$B$100,'IE SUMMARY'!$S43,'IE Data Entry'!C$30:C$100)</f>
        <v>0</v>
      </c>
      <c r="C43" s="209">
        <f>SUMIF('IE Data Entry'!$B$30:$B$100,'IE SUMMARY'!$S43,'IE Data Entry'!D$30:D$100)</f>
        <v>0</v>
      </c>
      <c r="D43" s="209">
        <f>SUMIF('IE Data Entry'!$B$30:$B$100,'IE SUMMARY'!$S43,'IE Data Entry'!E$30:E$100)</f>
        <v>0</v>
      </c>
      <c r="E43" s="209">
        <f>SUMIF('IE Data Entry'!$B$30:$B$100,'IE SUMMARY'!$S43,'IE Data Entry'!F$30:F$100)</f>
        <v>0</v>
      </c>
      <c r="F43" s="209">
        <f>SUMIF('IE Data Entry'!$B$30:$B$100,'IE SUMMARY'!$S43,'IE Data Entry'!H$30:H$100)</f>
        <v>0</v>
      </c>
      <c r="G43" s="209">
        <f>SUMIF('IE Data Entry'!$B$30:$B$100,'IE SUMMARY'!$S43,'IE Data Entry'!I$30:I$100)</f>
        <v>0</v>
      </c>
      <c r="H43" s="210">
        <f>+Proforma!F69*12</f>
        <v>10000</v>
      </c>
      <c r="I43" s="630">
        <f t="shared" si="1"/>
        <v>10000</v>
      </c>
      <c r="J43" s="212"/>
      <c r="K43" s="208"/>
      <c r="L43" s="208"/>
      <c r="M43" s="208"/>
      <c r="N43" s="188"/>
      <c r="O43" s="208"/>
      <c r="P43" s="208"/>
      <c r="Q43" s="208"/>
      <c r="R43" s="208"/>
      <c r="S43" s="189">
        <v>5109</v>
      </c>
    </row>
    <row r="44" spans="1:19" x14ac:dyDescent="0.2">
      <c r="A44" s="734" t="s">
        <v>183</v>
      </c>
      <c r="B44" s="209">
        <f>SUMIF('IE Data Entry'!$B$30:$B$100,'IE SUMMARY'!$S44,'IE Data Entry'!C$30:C$100)</f>
        <v>0</v>
      </c>
      <c r="C44" s="209">
        <f>SUMIF('IE Data Entry'!$B$30:$B$100,'IE SUMMARY'!$S44,'IE Data Entry'!D$30:D$100)</f>
        <v>0</v>
      </c>
      <c r="D44" s="209">
        <f>SUMIF('IE Data Entry'!$B$30:$B$100,'IE SUMMARY'!$S44,'IE Data Entry'!E$30:E$100)</f>
        <v>0</v>
      </c>
      <c r="E44" s="209">
        <f>SUMIF('IE Data Entry'!$B$30:$B$100,'IE SUMMARY'!$S44,'IE Data Entry'!F$30:F$100)</f>
        <v>0</v>
      </c>
      <c r="F44" s="209">
        <f>SUMIF('IE Data Entry'!$B$30:$B$100,'IE SUMMARY'!$S44,'IE Data Entry'!H$30:H$100)</f>
        <v>0</v>
      </c>
      <c r="G44" s="209">
        <f>SUMIF('IE Data Entry'!$B$30:$B$100,'IE SUMMARY'!$S44,'IE Data Entry'!I$30:I$100)</f>
        <v>0</v>
      </c>
      <c r="H44" s="210">
        <f>+Proforma!F70*12</f>
        <v>8853.6</v>
      </c>
      <c r="I44" s="630">
        <f t="shared" si="1"/>
        <v>8853.6</v>
      </c>
      <c r="J44" s="212"/>
      <c r="K44" s="208"/>
      <c r="L44" s="208"/>
      <c r="M44" s="208"/>
      <c r="N44" s="188"/>
      <c r="O44" s="208"/>
      <c r="P44" s="208"/>
      <c r="Q44" s="208"/>
      <c r="R44" s="208"/>
      <c r="S44" s="189">
        <v>5200</v>
      </c>
    </row>
    <row r="45" spans="1:19" x14ac:dyDescent="0.2">
      <c r="A45" s="211" t="s">
        <v>536</v>
      </c>
      <c r="B45" s="209">
        <f>SUMIF('IE Data Entry'!$B$30:$B$100,'IE SUMMARY'!$S45,'IE Data Entry'!C$30:C$100)</f>
        <v>0</v>
      </c>
      <c r="C45" s="209">
        <f>SUMIF('IE Data Entry'!$B$30:$B$100,'IE SUMMARY'!$S45,'IE Data Entry'!D$30:D$100)</f>
        <v>0</v>
      </c>
      <c r="D45" s="209">
        <f>SUMIF('IE Data Entry'!$B$30:$B$100,'IE SUMMARY'!$S45,'IE Data Entry'!E$30:E$100)</f>
        <v>0</v>
      </c>
      <c r="E45" s="209">
        <f>SUMIF('IE Data Entry'!$B$30:$B$100,'IE SUMMARY'!$S45,'IE Data Entry'!F$30:F$100)</f>
        <v>0</v>
      </c>
      <c r="F45" s="209">
        <f>SUMIF('IE Data Entry'!$B$30:$B$100,'IE SUMMARY'!$S45,'IE Data Entry'!H$30:H$100)</f>
        <v>0</v>
      </c>
      <c r="G45" s="209">
        <f>SUMIF('IE Data Entry'!$B$30:$B$100,'IE SUMMARY'!$S45,'IE Data Entry'!I$30:I$100)</f>
        <v>0</v>
      </c>
      <c r="H45" s="210">
        <f>+Proforma!F71*12</f>
        <v>28355.550000000003</v>
      </c>
      <c r="I45" s="630">
        <f t="shared" si="1"/>
        <v>28355.550000000003</v>
      </c>
      <c r="J45" s="212"/>
      <c r="K45" s="208"/>
      <c r="L45" s="208"/>
      <c r="M45" s="208"/>
      <c r="N45" s="188"/>
      <c r="O45" s="208"/>
      <c r="P45" s="208"/>
      <c r="Q45" s="208"/>
      <c r="R45" s="208"/>
      <c r="S45" s="189">
        <v>5301</v>
      </c>
    </row>
    <row r="46" spans="1:19" x14ac:dyDescent="0.2">
      <c r="A46" s="734" t="s">
        <v>185</v>
      </c>
      <c r="B46" s="209">
        <f>SUMIF('IE Data Entry'!$B$30:$B$100,'IE SUMMARY'!$S46,'IE Data Entry'!C$30:C$100)</f>
        <v>0</v>
      </c>
      <c r="C46" s="209">
        <f>SUMIF('IE Data Entry'!$B$30:$B$100,'IE SUMMARY'!$S46,'IE Data Entry'!D$30:D$100)</f>
        <v>0</v>
      </c>
      <c r="D46" s="209">
        <f>SUMIF('IE Data Entry'!$B$30:$B$100,'IE SUMMARY'!$S46,'IE Data Entry'!E$30:E$100)</f>
        <v>0</v>
      </c>
      <c r="E46" s="209">
        <f>SUMIF('IE Data Entry'!$B$30:$B$100,'IE SUMMARY'!$S46,'IE Data Entry'!F$30:F$100)</f>
        <v>0</v>
      </c>
      <c r="F46" s="209">
        <f>SUMIF('IE Data Entry'!$B$30:$B$100,'IE SUMMARY'!$S46,'IE Data Entry'!H$30:H$100)</f>
        <v>0</v>
      </c>
      <c r="G46" s="209">
        <f>SUMIF('IE Data Entry'!$B$30:$B$100,'IE SUMMARY'!$S46,'IE Data Entry'!I$30:I$100)</f>
        <v>0</v>
      </c>
      <c r="H46" s="210">
        <f>+Proforma!F72*12</f>
        <v>20000</v>
      </c>
      <c r="I46" s="630">
        <f t="shared" si="1"/>
        <v>20000</v>
      </c>
      <c r="J46" s="212"/>
      <c r="K46" s="208"/>
      <c r="L46" s="208"/>
      <c r="M46" s="208"/>
      <c r="N46" s="188"/>
      <c r="O46" s="208"/>
      <c r="P46" s="208"/>
      <c r="Q46" s="208"/>
      <c r="R46" s="208"/>
      <c r="S46" s="189">
        <v>5053</v>
      </c>
    </row>
    <row r="47" spans="1:19" x14ac:dyDescent="0.2">
      <c r="A47" s="734" t="s">
        <v>186</v>
      </c>
      <c r="B47" s="209">
        <f>SUMIF('IE Data Entry'!$B$30:$B$100,'IE SUMMARY'!$S47,'IE Data Entry'!C$30:C$100)</f>
        <v>0</v>
      </c>
      <c r="C47" s="209">
        <f>SUMIF('IE Data Entry'!$B$30:$B$100,'IE SUMMARY'!$S47,'IE Data Entry'!D$30:D$100)</f>
        <v>0</v>
      </c>
      <c r="D47" s="209">
        <f>SUMIF('IE Data Entry'!$B$30:$B$100,'IE SUMMARY'!$S47,'IE Data Entry'!E$30:E$100)</f>
        <v>0</v>
      </c>
      <c r="E47" s="209">
        <f>SUMIF('IE Data Entry'!$B$30:$B$100,'IE SUMMARY'!$S47,'IE Data Entry'!F$30:F$100)</f>
        <v>0</v>
      </c>
      <c r="F47" s="209">
        <f>SUMIF('IE Data Entry'!$B$30:$B$100,'IE SUMMARY'!$S47,'IE Data Entry'!H$30:H$100)</f>
        <v>0</v>
      </c>
      <c r="G47" s="209">
        <f>SUMIF('IE Data Entry'!$B$30:$B$100,'IE SUMMARY'!$S47,'IE Data Entry'!I$30:I$100)</f>
        <v>0</v>
      </c>
      <c r="H47" s="210">
        <f>+Proforma!F73*12</f>
        <v>1095</v>
      </c>
      <c r="I47" s="630">
        <f t="shared" si="1"/>
        <v>1095</v>
      </c>
      <c r="J47" s="212"/>
      <c r="K47" s="208"/>
      <c r="L47" s="208"/>
      <c r="M47" s="208"/>
      <c r="N47" s="188"/>
      <c r="O47" s="208"/>
      <c r="P47" s="208"/>
      <c r="Q47" s="208"/>
      <c r="R47" s="208"/>
      <c r="S47" s="189">
        <v>5604</v>
      </c>
    </row>
    <row r="48" spans="1:19" x14ac:dyDescent="0.2">
      <c r="A48" s="734" t="s">
        <v>187</v>
      </c>
      <c r="B48" s="209">
        <f>SUMIF('IE Data Entry'!$B$30:$B$100,'IE SUMMARY'!$S48,'IE Data Entry'!C$30:C$100)</f>
        <v>0</v>
      </c>
      <c r="C48" s="209">
        <f>SUMIF('IE Data Entry'!$B$30:$B$100,'IE SUMMARY'!$S48,'IE Data Entry'!D$30:D$100)</f>
        <v>0</v>
      </c>
      <c r="D48" s="209">
        <f>SUMIF('IE Data Entry'!$B$30:$B$100,'IE SUMMARY'!$S48,'IE Data Entry'!E$30:E$100)</f>
        <v>0</v>
      </c>
      <c r="E48" s="209">
        <f>SUMIF('IE Data Entry'!$B$30:$B$100,'IE SUMMARY'!$S48,'IE Data Entry'!F$30:F$100)</f>
        <v>0</v>
      </c>
      <c r="F48" s="209">
        <f>SUMIF('IE Data Entry'!$B$30:$B$100,'IE SUMMARY'!$S48,'IE Data Entry'!H$30:H$100)</f>
        <v>0</v>
      </c>
      <c r="G48" s="209">
        <f>SUMIF('IE Data Entry'!$B$30:$B$100,'IE SUMMARY'!$S48,'IE Data Entry'!I$30:I$100)</f>
        <v>0</v>
      </c>
      <c r="H48" s="210">
        <f>+Proforma!F74*12</f>
        <v>2500</v>
      </c>
      <c r="I48" s="630">
        <f t="shared" si="1"/>
        <v>2500</v>
      </c>
      <c r="J48" s="212"/>
      <c r="K48" s="208"/>
      <c r="L48" s="208"/>
      <c r="M48" s="208"/>
      <c r="N48" s="188"/>
      <c r="O48" s="208"/>
      <c r="P48" s="208"/>
      <c r="Q48" s="208"/>
      <c r="R48" s="208"/>
      <c r="S48" s="189">
        <v>5062</v>
      </c>
    </row>
    <row r="49" spans="1:19" x14ac:dyDescent="0.2">
      <c r="A49" s="734" t="s">
        <v>188</v>
      </c>
      <c r="B49" s="209">
        <f>SUMIF('IE Data Entry'!$B$30:$B$100,'IE SUMMARY'!$S49,'IE Data Entry'!C$30:C$100)</f>
        <v>0</v>
      </c>
      <c r="C49" s="209">
        <f>SUMIF('IE Data Entry'!$B$30:$B$100,'IE SUMMARY'!$S49,'IE Data Entry'!D$30:D$100)</f>
        <v>0</v>
      </c>
      <c r="D49" s="209">
        <f>SUMIF('IE Data Entry'!$B$30:$B$100,'IE SUMMARY'!$S49,'IE Data Entry'!E$30:E$100)</f>
        <v>0</v>
      </c>
      <c r="E49" s="209">
        <f>SUMIF('IE Data Entry'!$B$30:$B$100,'IE SUMMARY'!$S49,'IE Data Entry'!F$30:F$100)</f>
        <v>0</v>
      </c>
      <c r="F49" s="209">
        <f>SUMIF('IE Data Entry'!$B$30:$B$100,'IE SUMMARY'!$S49,'IE Data Entry'!H$30:H$100)</f>
        <v>0</v>
      </c>
      <c r="G49" s="209">
        <f>SUMIF('IE Data Entry'!$B$30:$B$100,'IE SUMMARY'!$S49,'IE Data Entry'!I$30:I$100)</f>
        <v>0</v>
      </c>
      <c r="H49" s="210">
        <f>+Proforma!F75*12</f>
        <v>1700</v>
      </c>
      <c r="I49" s="630">
        <f t="shared" si="1"/>
        <v>1700</v>
      </c>
      <c r="J49" s="212"/>
      <c r="K49" s="208"/>
      <c r="L49" s="208"/>
      <c r="M49" s="208"/>
      <c r="N49" s="188"/>
      <c r="O49" s="208"/>
      <c r="P49" s="208"/>
      <c r="Q49" s="208"/>
      <c r="R49" s="208"/>
      <c r="S49" s="189">
        <v>5302</v>
      </c>
    </row>
    <row r="50" spans="1:19" x14ac:dyDescent="0.2">
      <c r="A50" s="734" t="s">
        <v>189</v>
      </c>
      <c r="B50" s="209">
        <f>SUMIF('IE Data Entry'!$B$30:$B$100,'IE SUMMARY'!$S50,'IE Data Entry'!C$30:C$100)</f>
        <v>0</v>
      </c>
      <c r="C50" s="209">
        <f>SUMIF('IE Data Entry'!$B$30:$B$100,'IE SUMMARY'!$S50,'IE Data Entry'!D$30:D$100)</f>
        <v>0</v>
      </c>
      <c r="D50" s="209">
        <f>SUMIF('IE Data Entry'!$B$30:$B$100,'IE SUMMARY'!$S50,'IE Data Entry'!E$30:E$100)</f>
        <v>0</v>
      </c>
      <c r="E50" s="209">
        <f>SUMIF('IE Data Entry'!$B$30:$B$100,'IE SUMMARY'!$S50,'IE Data Entry'!F$30:F$100)</f>
        <v>0</v>
      </c>
      <c r="F50" s="209">
        <f>SUMIF('IE Data Entry'!$B$30:$B$100,'IE SUMMARY'!$S50,'IE Data Entry'!H$30:H$100)</f>
        <v>0</v>
      </c>
      <c r="G50" s="209">
        <f>SUMIF('IE Data Entry'!$B$30:$B$100,'IE SUMMARY'!$S50,'IE Data Entry'!I$30:I$100)</f>
        <v>0</v>
      </c>
      <c r="H50" s="210">
        <f>+Proforma!F76*12</f>
        <v>0</v>
      </c>
      <c r="I50" s="630">
        <f t="shared" si="1"/>
        <v>0</v>
      </c>
      <c r="J50" s="212"/>
      <c r="K50" s="208"/>
      <c r="L50" s="208"/>
      <c r="M50" s="208"/>
      <c r="N50" s="188"/>
      <c r="O50" s="208"/>
      <c r="P50" s="208"/>
      <c r="Q50" s="208"/>
      <c r="R50" s="208"/>
      <c r="S50" s="189">
        <v>5001</v>
      </c>
    </row>
    <row r="51" spans="1:19" x14ac:dyDescent="0.2">
      <c r="A51" s="734" t="s">
        <v>190</v>
      </c>
      <c r="B51" s="209">
        <f>SUMIF('IE Data Entry'!$B$30:$B$100,'IE SUMMARY'!$S51,'IE Data Entry'!C$30:C$100)</f>
        <v>0</v>
      </c>
      <c r="C51" s="209">
        <f>SUMIF('IE Data Entry'!$B$30:$B$100,'IE SUMMARY'!$S51,'IE Data Entry'!D$30:D$100)</f>
        <v>0</v>
      </c>
      <c r="D51" s="209">
        <f>SUMIF('IE Data Entry'!$B$30:$B$100,'IE SUMMARY'!$S51,'IE Data Entry'!E$30:E$100)</f>
        <v>0</v>
      </c>
      <c r="E51" s="209">
        <f>SUMIF('IE Data Entry'!$B$30:$B$100,'IE SUMMARY'!$S51,'IE Data Entry'!F$30:F$100)</f>
        <v>0</v>
      </c>
      <c r="F51" s="209">
        <f>SUMIF('IE Data Entry'!$B$30:$B$100,'IE SUMMARY'!$S51,'IE Data Entry'!H$30:H$100)</f>
        <v>0</v>
      </c>
      <c r="G51" s="209">
        <f>SUMIF('IE Data Entry'!$B$30:$B$100,'IE SUMMARY'!$S51,'IE Data Entry'!I$30:I$100)</f>
        <v>0</v>
      </c>
      <c r="H51" s="210">
        <f>+Proforma!F77*12</f>
        <v>2450</v>
      </c>
      <c r="I51" s="630">
        <f t="shared" si="1"/>
        <v>2450</v>
      </c>
      <c r="J51" s="212"/>
      <c r="K51" s="208"/>
      <c r="L51" s="208"/>
      <c r="M51" s="208"/>
      <c r="N51" s="188"/>
      <c r="O51" s="208"/>
      <c r="P51" s="208"/>
      <c r="Q51" s="208"/>
      <c r="R51" s="208"/>
      <c r="S51" s="189">
        <v>5061</v>
      </c>
    </row>
    <row r="52" spans="1:19" x14ac:dyDescent="0.2">
      <c r="A52" s="734" t="s">
        <v>191</v>
      </c>
      <c r="B52" s="209">
        <f>SUMIF('IE Data Entry'!$B$30:$B$100,'IE SUMMARY'!$S52,'IE Data Entry'!C$30:C$100)</f>
        <v>0</v>
      </c>
      <c r="C52" s="209">
        <f>SUMIF('IE Data Entry'!$B$30:$B$100,'IE SUMMARY'!$S52,'IE Data Entry'!D$30:D$100)</f>
        <v>0</v>
      </c>
      <c r="D52" s="209">
        <f>SUMIF('IE Data Entry'!$B$30:$B$100,'IE SUMMARY'!$S52,'IE Data Entry'!E$30:E$100)</f>
        <v>0</v>
      </c>
      <c r="E52" s="209">
        <f>SUMIF('IE Data Entry'!$B$30:$B$100,'IE SUMMARY'!$S52,'IE Data Entry'!F$30:F$100)</f>
        <v>0</v>
      </c>
      <c r="F52" s="209">
        <f>SUMIF('IE Data Entry'!$B$30:$B$100,'IE SUMMARY'!$S52,'IE Data Entry'!H$30:H$100)</f>
        <v>0</v>
      </c>
      <c r="G52" s="209">
        <f>SUMIF('IE Data Entry'!$B$30:$B$100,'IE SUMMARY'!$S52,'IE Data Entry'!I$30:I$100)</f>
        <v>0</v>
      </c>
      <c r="H52" s="210">
        <f>+Proforma!F78*12</f>
        <v>1340.28</v>
      </c>
      <c r="I52" s="630">
        <f t="shared" si="1"/>
        <v>1340.28</v>
      </c>
      <c r="J52" s="212"/>
      <c r="K52" s="208"/>
      <c r="L52" s="208"/>
      <c r="M52" s="208"/>
      <c r="N52" s="188"/>
      <c r="O52" s="208"/>
      <c r="P52" s="208"/>
      <c r="Q52" s="208"/>
      <c r="R52" s="208"/>
      <c r="S52" s="189">
        <v>5304</v>
      </c>
    </row>
    <row r="53" spans="1:19" x14ac:dyDescent="0.2">
      <c r="A53" s="734" t="s">
        <v>192</v>
      </c>
      <c r="B53" s="209">
        <f>SUMIF('IE Data Entry'!$B$30:$B$100,'IE SUMMARY'!$S53,'IE Data Entry'!C$30:C$100)</f>
        <v>0</v>
      </c>
      <c r="C53" s="209">
        <f>SUMIF('IE Data Entry'!$B$30:$B$100,'IE SUMMARY'!$S53,'IE Data Entry'!D$30:D$100)</f>
        <v>0</v>
      </c>
      <c r="D53" s="209">
        <f>SUMIF('IE Data Entry'!$B$30:$B$100,'IE SUMMARY'!$S53,'IE Data Entry'!E$30:E$100)</f>
        <v>0</v>
      </c>
      <c r="E53" s="209">
        <f>SUMIF('IE Data Entry'!$B$30:$B$100,'IE SUMMARY'!$S53,'IE Data Entry'!F$30:F$100)</f>
        <v>0</v>
      </c>
      <c r="F53" s="209">
        <f>SUMIF('IE Data Entry'!$B$30:$B$100,'IE SUMMARY'!$S53,'IE Data Entry'!H$30:H$100)</f>
        <v>0</v>
      </c>
      <c r="G53" s="209">
        <f>SUMIF('IE Data Entry'!$B$30:$B$100,'IE SUMMARY'!$S53,'IE Data Entry'!I$30:I$100)</f>
        <v>0</v>
      </c>
      <c r="H53" s="210">
        <f>+Proforma!F79*12</f>
        <v>300</v>
      </c>
      <c r="I53" s="630">
        <f t="shared" si="1"/>
        <v>300</v>
      </c>
      <c r="J53" s="212"/>
      <c r="K53" s="208"/>
      <c r="L53" s="208"/>
      <c r="M53" s="208"/>
      <c r="N53" s="188"/>
      <c r="O53" s="208"/>
      <c r="P53" s="208"/>
      <c r="Q53" s="208"/>
      <c r="R53" s="208"/>
      <c r="S53" s="189">
        <v>5064</v>
      </c>
    </row>
    <row r="54" spans="1:19" x14ac:dyDescent="0.2">
      <c r="A54" s="734" t="s">
        <v>193</v>
      </c>
      <c r="B54" s="209">
        <f>SUMIF('IE Data Entry'!$B$30:$B$100,'IE SUMMARY'!$S54,'IE Data Entry'!C$30:C$100)</f>
        <v>0</v>
      </c>
      <c r="C54" s="209">
        <f>SUMIF('IE Data Entry'!$B$30:$B$100,'IE SUMMARY'!$S54,'IE Data Entry'!D$30:D$100)</f>
        <v>0</v>
      </c>
      <c r="D54" s="209">
        <f>SUMIF('IE Data Entry'!$B$30:$B$100,'IE SUMMARY'!$S54,'IE Data Entry'!E$30:E$100)</f>
        <v>0</v>
      </c>
      <c r="E54" s="209">
        <f>SUMIF('IE Data Entry'!$B$30:$B$100,'IE SUMMARY'!$S54,'IE Data Entry'!F$30:F$100)</f>
        <v>0</v>
      </c>
      <c r="F54" s="209">
        <f>SUMIF('IE Data Entry'!$B$30:$B$100,'IE SUMMARY'!$S54,'IE Data Entry'!H$30:H$100)</f>
        <v>0</v>
      </c>
      <c r="G54" s="209">
        <f>SUMIF('IE Data Entry'!$B$30:$B$100,'IE SUMMARY'!$S54,'IE Data Entry'!I$30:I$100)</f>
        <v>0</v>
      </c>
      <c r="H54" s="210">
        <f>+Proforma!F80*12</f>
        <v>1000</v>
      </c>
      <c r="I54" s="630">
        <f t="shared" si="1"/>
        <v>1000</v>
      </c>
      <c r="J54" s="212"/>
      <c r="K54" s="185" t="str">
        <f>IF(ISERROR((+(G56-E56)/E56)),"",(+(G56-E56)/E56))</f>
        <v/>
      </c>
      <c r="L54" s="193" t="s">
        <v>524</v>
      </c>
      <c r="M54" s="212"/>
      <c r="O54" s="212"/>
      <c r="P54" s="212"/>
      <c r="Q54" s="212"/>
      <c r="R54" s="212"/>
      <c r="S54" s="189">
        <v>5601</v>
      </c>
    </row>
    <row r="55" spans="1:19" x14ac:dyDescent="0.2">
      <c r="A55" s="734" t="s">
        <v>537</v>
      </c>
      <c r="B55" s="213">
        <f>SUMIF('IE Data Entry'!$B$30:$B$100,'IE SUMMARY'!$S55,'IE Data Entry'!C$30:C$100)</f>
        <v>0</v>
      </c>
      <c r="C55" s="213">
        <f>SUMIF('IE Data Entry'!$B$30:$B$100,'IE SUMMARY'!$S55,'IE Data Entry'!D$30:D$100)</f>
        <v>0</v>
      </c>
      <c r="D55" s="213">
        <f>SUMIF('IE Data Entry'!$B$30:$B$100,'IE SUMMARY'!$S55,'IE Data Entry'!E$30:E$100)</f>
        <v>0</v>
      </c>
      <c r="E55" s="213">
        <f>SUMIF('IE Data Entry'!$B$30:$B$100,'IE SUMMARY'!$S55,'IE Data Entry'!F$30:F$100)</f>
        <v>0</v>
      </c>
      <c r="F55" s="213">
        <f>SUMIF('IE Data Entry'!$B$30:$B$100,'IE SUMMARY'!$S55,'IE Data Entry'!H$30:H$100)</f>
        <v>0</v>
      </c>
      <c r="G55" s="213">
        <f>SUMIF('IE Data Entry'!$B$30:$B$100,'IE SUMMARY'!$S55,'IE Data Entry'!I$30:I$100)</f>
        <v>0</v>
      </c>
      <c r="H55" s="214">
        <f>+Proforma!F81*12</f>
        <v>22719.666000000001</v>
      </c>
      <c r="I55" s="631">
        <f t="shared" si="1"/>
        <v>22719.666000000001</v>
      </c>
      <c r="J55" s="212"/>
      <c r="K55" s="195" t="str">
        <f>IF(ISERROR((+(G56-F56)/F56)),"",(+(G56-F56)/F56))</f>
        <v/>
      </c>
      <c r="L55" s="193" t="s">
        <v>526</v>
      </c>
      <c r="M55" s="212"/>
      <c r="O55" s="212"/>
      <c r="P55" s="212"/>
      <c r="Q55" s="212"/>
      <c r="R55" s="212"/>
      <c r="S55" s="189">
        <v>5000</v>
      </c>
    </row>
    <row r="56" spans="1:19" x14ac:dyDescent="0.2">
      <c r="A56" s="215" t="s">
        <v>538</v>
      </c>
      <c r="B56" s="857">
        <f>SUM(B32:B55)</f>
        <v>0</v>
      </c>
      <c r="C56" s="857">
        <f t="shared" ref="C56:H56" si="5">SUM(C32:C55)</f>
        <v>0</v>
      </c>
      <c r="D56" s="857">
        <f t="shared" si="5"/>
        <v>0</v>
      </c>
      <c r="E56" s="857">
        <f t="shared" si="5"/>
        <v>0</v>
      </c>
      <c r="F56" s="857">
        <f t="shared" si="5"/>
        <v>0</v>
      </c>
      <c r="G56" s="857">
        <f t="shared" si="5"/>
        <v>0</v>
      </c>
      <c r="H56" s="857">
        <f t="shared" ca="1" si="5"/>
        <v>301756.31600000005</v>
      </c>
      <c r="I56" s="858">
        <f t="shared" ca="1" si="1"/>
        <v>301756.31600000005</v>
      </c>
      <c r="J56" s="620"/>
      <c r="K56" s="195" t="str">
        <f>IF(ISERROR((+(G56-D56)/D56)),"",(+(G56-D56)/D56))</f>
        <v/>
      </c>
      <c r="L56" s="193" t="str">
        <f>"Broker Compared to "&amp;'IE Data Entry'!$B$4</f>
        <v>Broker Compared to 2021</v>
      </c>
      <c r="M56" s="216"/>
      <c r="P56" s="212"/>
      <c r="Q56" s="212"/>
      <c r="R56" s="212"/>
    </row>
    <row r="57" spans="1:19" x14ac:dyDescent="0.2">
      <c r="A57" s="217" t="s">
        <v>527</v>
      </c>
      <c r="B57" s="193"/>
      <c r="C57" s="195" t="str">
        <f>IF(ISERROR((+(C56-B56)/B56)),"",(+(C56-B56)/B56))</f>
        <v/>
      </c>
      <c r="D57" s="195" t="str">
        <f>IF(ISERROR((+(D56-C56)/C56)),"",(+(D56-C56)/C56))</f>
        <v/>
      </c>
      <c r="E57" s="195" t="str">
        <f>IF(ISERROR((+(E56-D56)/D56)),"",(+(E56-D56)/D56))</f>
        <v/>
      </c>
      <c r="F57" s="195" t="str">
        <f>IF(ISERROR((+(F56-D56)/D56)),"",(+(F56-D56)/D56))</f>
        <v/>
      </c>
      <c r="G57" s="218"/>
      <c r="I57" s="637"/>
      <c r="M57" s="218"/>
      <c r="N57" s="218"/>
      <c r="P57" s="219"/>
      <c r="Q57" s="219"/>
      <c r="R57" s="219"/>
    </row>
    <row r="58" spans="1:19" x14ac:dyDescent="0.2">
      <c r="A58" s="220" t="s">
        <v>539</v>
      </c>
      <c r="B58" s="221" t="str">
        <f>IF(ISERROR((+B56/B26)),"",(+B56/B26))</f>
        <v/>
      </c>
      <c r="C58" s="221" t="str">
        <f t="shared" ref="C58:H58" si="6">IF(ISERROR((+C56/C26)),"",(+C56/C26))</f>
        <v/>
      </c>
      <c r="D58" s="221" t="str">
        <f t="shared" si="6"/>
        <v/>
      </c>
      <c r="E58" s="221" t="str">
        <f t="shared" si="6"/>
        <v/>
      </c>
      <c r="F58" s="221" t="str">
        <f t="shared" si="6"/>
        <v/>
      </c>
      <c r="G58" s="222"/>
      <c r="H58" s="221">
        <f t="shared" ca="1" si="6"/>
        <v>0.66408616218213778</v>
      </c>
      <c r="I58" s="637"/>
      <c r="J58" s="221"/>
      <c r="K58" s="193"/>
      <c r="L58" s="218"/>
      <c r="M58" s="218"/>
      <c r="N58" s="218"/>
      <c r="O58" s="219"/>
      <c r="P58" s="219"/>
      <c r="Q58" s="219"/>
      <c r="R58" s="219"/>
    </row>
    <row r="59" spans="1:19" x14ac:dyDescent="0.2">
      <c r="A59" s="217"/>
      <c r="B59" s="174"/>
      <c r="C59" s="174"/>
      <c r="D59" s="174"/>
      <c r="E59" s="174"/>
      <c r="F59" s="910" t="str">
        <f>Current_Year&amp;" Annualized"</f>
        <v>2022 Annualized</v>
      </c>
      <c r="G59" s="910" t="s">
        <v>518</v>
      </c>
      <c r="H59" s="195"/>
      <c r="I59" s="637"/>
      <c r="J59" s="195"/>
      <c r="K59" s="193"/>
      <c r="L59" s="218"/>
      <c r="M59" s="218"/>
      <c r="N59" s="218"/>
      <c r="O59" s="219"/>
      <c r="P59" s="219"/>
      <c r="Q59" s="219"/>
      <c r="R59" s="219"/>
    </row>
    <row r="60" spans="1:19" ht="16" thickBot="1" x14ac:dyDescent="0.25">
      <c r="B60" s="175">
        <f>+B31</f>
        <v>2019</v>
      </c>
      <c r="C60" s="175">
        <f t="shared" ref="C60:E60" si="7">+C31</f>
        <v>2020</v>
      </c>
      <c r="D60" s="175">
        <f t="shared" si="7"/>
        <v>2021</v>
      </c>
      <c r="E60" s="175" t="str">
        <f t="shared" si="7"/>
        <v>Trailing 12</v>
      </c>
      <c r="F60" s="911"/>
      <c r="G60" s="911"/>
      <c r="H60" s="378" t="str">
        <f>+H31</f>
        <v>BVG Yr 1 Projection</v>
      </c>
      <c r="I60" s="630" t="str">
        <f t="shared" si="1"/>
        <v>BVG Yr 1 Projection</v>
      </c>
      <c r="J60" s="621"/>
      <c r="K60" s="185" t="str">
        <f>IF(ISERROR((+(G62-E62)/E62)),"",(+(G62-E62)/E62))</f>
        <v/>
      </c>
      <c r="L60" s="193" t="s">
        <v>524</v>
      </c>
    </row>
    <row r="61" spans="1:19" ht="16" thickBot="1" x14ac:dyDescent="0.25">
      <c r="A61" s="200" t="s">
        <v>484</v>
      </c>
      <c r="B61" s="859">
        <f t="shared" ref="B61:H61" si="8">+B26-B56</f>
        <v>0</v>
      </c>
      <c r="C61" s="859">
        <f t="shared" si="8"/>
        <v>0</v>
      </c>
      <c r="D61" s="859">
        <f t="shared" si="8"/>
        <v>0</v>
      </c>
      <c r="E61" s="859">
        <f t="shared" si="8"/>
        <v>0</v>
      </c>
      <c r="F61" s="859">
        <f t="shared" si="8"/>
        <v>0</v>
      </c>
      <c r="G61" s="859">
        <f t="shared" si="8"/>
        <v>0</v>
      </c>
      <c r="H61" s="377">
        <f t="shared" ca="1" si="8"/>
        <v>152637.00399999996</v>
      </c>
      <c r="I61" s="630">
        <f t="shared" ca="1" si="1"/>
        <v>152637.00399999996</v>
      </c>
      <c r="J61" s="212"/>
      <c r="K61" s="195" t="str">
        <f>IF(ISERROR((+(G61-F61)/F61)),"",(+(G61-F61)/F61))</f>
        <v/>
      </c>
      <c r="L61" s="193" t="s">
        <v>526</v>
      </c>
    </row>
    <row r="62" spans="1:19" ht="16" thickTop="1" x14ac:dyDescent="0.2">
      <c r="A62" s="217" t="s">
        <v>527</v>
      </c>
      <c r="B62" s="193"/>
      <c r="C62" s="195" t="str">
        <f>IF(ISERROR((+(C61-B61)/B61)),"",(+(C61-B61)/B61))</f>
        <v/>
      </c>
      <c r="D62" s="195" t="str">
        <f>IF(ISERROR((+(D61-C61)/C61)),"",(+(D61-C61)/C61))</f>
        <v/>
      </c>
      <c r="E62" s="195" t="str">
        <f>IF(ISERROR((+(E61-D61)/D61)),"",(+(E61-D61)/D61))</f>
        <v/>
      </c>
      <c r="F62" s="195" t="str">
        <f>IF(ISERROR((+(F61-D61)/D61)),"",(+(F61-D61)/D61))</f>
        <v/>
      </c>
      <c r="G62" s="218"/>
      <c r="K62" s="195" t="str">
        <f>IF(ISERROR((+(G61-D61)/D61)),"",(+(G61-D61)/D61))</f>
        <v/>
      </c>
      <c r="L62" s="193" t="str">
        <f>"Broker Compared to "&amp;'IE Data Entry'!$B$4</f>
        <v>Broker Compared to 2021</v>
      </c>
    </row>
    <row r="64" spans="1:19" x14ac:dyDescent="0.2">
      <c r="A64" s="906" t="s">
        <v>540</v>
      </c>
      <c r="B64" s="906"/>
      <c r="C64" s="906"/>
      <c r="D64" s="906"/>
      <c r="E64" s="906"/>
      <c r="F64" s="906"/>
      <c r="G64" s="906"/>
      <c r="H64" s="906"/>
      <c r="I64" s="622"/>
      <c r="J64" s="622"/>
    </row>
    <row r="65" spans="1:10" x14ac:dyDescent="0.2">
      <c r="A65" s="233" t="s">
        <v>541</v>
      </c>
      <c r="B65" s="233">
        <f>+B60</f>
        <v>2019</v>
      </c>
      <c r="C65" s="233">
        <f t="shared" ref="C65:H65" si="9">+C60</f>
        <v>2020</v>
      </c>
      <c r="D65" s="233">
        <f t="shared" si="9"/>
        <v>2021</v>
      </c>
      <c r="E65" s="233" t="str">
        <f t="shared" si="9"/>
        <v>Trailing 12</v>
      </c>
      <c r="F65" s="233" t="str">
        <f>+F59</f>
        <v>2022 Annualized</v>
      </c>
      <c r="G65" s="233" t="str">
        <f>+G59</f>
        <v>Broker Projection</v>
      </c>
      <c r="H65" s="233" t="str">
        <f t="shared" si="9"/>
        <v>BVG Yr 1 Projection</v>
      </c>
      <c r="I65" s="173"/>
      <c r="J65" s="173"/>
    </row>
    <row r="66" spans="1:10" x14ac:dyDescent="0.2">
      <c r="A66" s="735" t="s">
        <v>542</v>
      </c>
      <c r="B66" s="231">
        <f>SUM(B15:B19)</f>
        <v>0</v>
      </c>
      <c r="C66" s="231">
        <f t="shared" ref="C66:H66" si="10">SUM(C15:C19)</f>
        <v>0</v>
      </c>
      <c r="D66" s="231">
        <f t="shared" si="10"/>
        <v>0</v>
      </c>
      <c r="E66" s="231">
        <f t="shared" si="10"/>
        <v>0</v>
      </c>
      <c r="F66" s="231">
        <f t="shared" si="10"/>
        <v>0</v>
      </c>
      <c r="G66" s="231">
        <f t="shared" si="10"/>
        <v>0</v>
      </c>
      <c r="H66" s="231">
        <f t="shared" si="10"/>
        <v>74139</v>
      </c>
      <c r="I66" s="623"/>
      <c r="J66" s="231"/>
    </row>
    <row r="67" spans="1:10" x14ac:dyDescent="0.2">
      <c r="A67" s="735" t="s">
        <v>543</v>
      </c>
      <c r="B67" s="231">
        <f>SUM(B35:B39)</f>
        <v>0</v>
      </c>
      <c r="C67" s="231">
        <f t="shared" ref="C67:H67" si="11">SUM(C35:C39)</f>
        <v>0</v>
      </c>
      <c r="D67" s="231">
        <f t="shared" si="11"/>
        <v>0</v>
      </c>
      <c r="E67" s="231">
        <f t="shared" si="11"/>
        <v>0</v>
      </c>
      <c r="F67" s="231">
        <f t="shared" si="11"/>
        <v>0</v>
      </c>
      <c r="G67" s="231">
        <f t="shared" si="11"/>
        <v>0</v>
      </c>
      <c r="H67" s="231">
        <f t="shared" ca="1" si="11"/>
        <v>56162.22</v>
      </c>
      <c r="I67" s="623"/>
      <c r="J67" s="231"/>
    </row>
    <row r="68" spans="1:10" x14ac:dyDescent="0.2">
      <c r="A68" s="735" t="s">
        <v>544</v>
      </c>
      <c r="B68" s="860">
        <f>+B66-B67</f>
        <v>0</v>
      </c>
      <c r="C68" s="860">
        <f t="shared" ref="C68:H68" si="12">+C66-C67</f>
        <v>0</v>
      </c>
      <c r="D68" s="860">
        <f t="shared" si="12"/>
        <v>0</v>
      </c>
      <c r="E68" s="860">
        <f t="shared" si="12"/>
        <v>0</v>
      </c>
      <c r="F68" s="860">
        <f t="shared" si="12"/>
        <v>0</v>
      </c>
      <c r="G68" s="860">
        <f t="shared" si="12"/>
        <v>0</v>
      </c>
      <c r="H68" s="860">
        <f t="shared" ca="1" si="12"/>
        <v>17976.78</v>
      </c>
      <c r="I68" s="623"/>
      <c r="J68" s="231"/>
    </row>
    <row r="69" spans="1:10" x14ac:dyDescent="0.2">
      <c r="A69" s="735" t="s">
        <v>545</v>
      </c>
      <c r="B69" s="232" t="str">
        <f>IF(ISERROR((+B66/B67)),"",(+B66/B67))</f>
        <v/>
      </c>
      <c r="C69" s="232" t="str">
        <f t="shared" ref="C69:H69" si="13">IF(ISERROR((+C66/C67)),"",(+C66/C67))</f>
        <v/>
      </c>
      <c r="D69" s="232" t="str">
        <f t="shared" si="13"/>
        <v/>
      </c>
      <c r="E69" s="232" t="str">
        <f t="shared" si="13"/>
        <v/>
      </c>
      <c r="F69" s="232" t="str">
        <f t="shared" si="13"/>
        <v/>
      </c>
      <c r="G69" s="232" t="str">
        <f t="shared" si="13"/>
        <v/>
      </c>
      <c r="H69" s="232">
        <f t="shared" ca="1" si="13"/>
        <v>1.3200867059742296</v>
      </c>
      <c r="I69" s="623"/>
      <c r="J69" s="232"/>
    </row>
    <row r="70" spans="1:10" x14ac:dyDescent="0.2">
      <c r="I70" s="623"/>
    </row>
    <row r="71" spans="1:10" x14ac:dyDescent="0.2">
      <c r="A71" s="173" t="s">
        <v>546</v>
      </c>
      <c r="B71" s="170"/>
      <c r="I71" s="623"/>
    </row>
    <row r="72" spans="1:10" x14ac:dyDescent="0.2">
      <c r="A72" s="735" t="s">
        <v>547</v>
      </c>
      <c r="B72" s="231">
        <f>B15</f>
        <v>0</v>
      </c>
      <c r="C72" s="231">
        <f t="shared" ref="C72:H72" si="14">C15</f>
        <v>0</v>
      </c>
      <c r="D72" s="231">
        <f t="shared" si="14"/>
        <v>0</v>
      </c>
      <c r="E72" s="231">
        <f t="shared" si="14"/>
        <v>0</v>
      </c>
      <c r="F72" s="231">
        <f t="shared" si="14"/>
        <v>0</v>
      </c>
      <c r="G72" s="231">
        <f t="shared" si="14"/>
        <v>0</v>
      </c>
      <c r="H72" s="231">
        <f t="shared" si="14"/>
        <v>0</v>
      </c>
      <c r="I72" s="623"/>
      <c r="J72" s="231"/>
    </row>
    <row r="73" spans="1:10" x14ac:dyDescent="0.2">
      <c r="A73" s="735" t="s">
        <v>548</v>
      </c>
      <c r="B73" s="231">
        <f>B35</f>
        <v>0</v>
      </c>
      <c r="C73" s="231">
        <f t="shared" ref="C73:H73" si="15">C35</f>
        <v>0</v>
      </c>
      <c r="D73" s="231">
        <f t="shared" si="15"/>
        <v>0</v>
      </c>
      <c r="E73" s="231">
        <f t="shared" si="15"/>
        <v>0</v>
      </c>
      <c r="F73" s="231">
        <f t="shared" si="15"/>
        <v>0</v>
      </c>
      <c r="G73" s="231">
        <f t="shared" si="15"/>
        <v>0</v>
      </c>
      <c r="H73" s="231">
        <f t="shared" si="15"/>
        <v>23913.9</v>
      </c>
      <c r="I73" s="623"/>
      <c r="J73" s="231"/>
    </row>
    <row r="74" spans="1:10" x14ac:dyDescent="0.2">
      <c r="A74" s="735" t="s">
        <v>549</v>
      </c>
      <c r="B74" s="860">
        <f>+B72-B73</f>
        <v>0</v>
      </c>
      <c r="C74" s="860">
        <f t="shared" ref="C74:H74" si="16">+C72-C73</f>
        <v>0</v>
      </c>
      <c r="D74" s="860">
        <f t="shared" si="16"/>
        <v>0</v>
      </c>
      <c r="E74" s="860">
        <f t="shared" si="16"/>
        <v>0</v>
      </c>
      <c r="F74" s="860">
        <f t="shared" si="16"/>
        <v>0</v>
      </c>
      <c r="G74" s="860">
        <f t="shared" si="16"/>
        <v>0</v>
      </c>
      <c r="H74" s="860">
        <f t="shared" si="16"/>
        <v>-23913.9</v>
      </c>
      <c r="I74" s="623"/>
      <c r="J74" s="231"/>
    </row>
    <row r="75" spans="1:10" x14ac:dyDescent="0.2">
      <c r="A75" s="735" t="s">
        <v>550</v>
      </c>
      <c r="B75" s="232" t="str">
        <f>IF(ISERROR((+B72/B73)),"",(+B72/B73))</f>
        <v/>
      </c>
      <c r="C75" s="232" t="str">
        <f t="shared" ref="C75:H75" si="17">IF(ISERROR((+C72/C73)),"",(+C72/C73))</f>
        <v/>
      </c>
      <c r="D75" s="232" t="str">
        <f t="shared" si="17"/>
        <v/>
      </c>
      <c r="E75" s="232" t="str">
        <f t="shared" si="17"/>
        <v/>
      </c>
      <c r="F75" s="232" t="str">
        <f t="shared" si="17"/>
        <v/>
      </c>
      <c r="G75" s="232" t="str">
        <f t="shared" si="17"/>
        <v/>
      </c>
      <c r="H75" s="232">
        <f t="shared" si="17"/>
        <v>0</v>
      </c>
      <c r="I75" s="623"/>
      <c r="J75" s="232"/>
    </row>
    <row r="76" spans="1:10" x14ac:dyDescent="0.2">
      <c r="I76" s="623"/>
    </row>
    <row r="77" spans="1:10" x14ac:dyDescent="0.2">
      <c r="A77" s="173" t="s">
        <v>551</v>
      </c>
      <c r="B77" s="170"/>
      <c r="I77" s="623"/>
    </row>
    <row r="78" spans="1:10" x14ac:dyDescent="0.2">
      <c r="A78" s="735" t="s">
        <v>552</v>
      </c>
      <c r="B78" s="231">
        <f>B16</f>
        <v>0</v>
      </c>
      <c r="C78" s="231">
        <f t="shared" ref="C78:H78" si="18">C16</f>
        <v>0</v>
      </c>
      <c r="D78" s="231">
        <f t="shared" si="18"/>
        <v>0</v>
      </c>
      <c r="E78" s="231">
        <f t="shared" si="18"/>
        <v>0</v>
      </c>
      <c r="F78" s="231">
        <f t="shared" si="18"/>
        <v>0</v>
      </c>
      <c r="G78" s="231">
        <f t="shared" si="18"/>
        <v>0</v>
      </c>
      <c r="H78" s="231">
        <f t="shared" si="18"/>
        <v>0</v>
      </c>
      <c r="I78" s="623"/>
      <c r="J78" s="231"/>
    </row>
    <row r="79" spans="1:10" x14ac:dyDescent="0.2">
      <c r="A79" s="735" t="s">
        <v>553</v>
      </c>
      <c r="B79" s="231">
        <f>B36</f>
        <v>0</v>
      </c>
      <c r="C79" s="231">
        <f t="shared" ref="C79:H79" si="19">C36</f>
        <v>0</v>
      </c>
      <c r="D79" s="231">
        <f t="shared" si="19"/>
        <v>0</v>
      </c>
      <c r="E79" s="231">
        <f t="shared" si="19"/>
        <v>0</v>
      </c>
      <c r="F79" s="231">
        <f t="shared" si="19"/>
        <v>0</v>
      </c>
      <c r="G79" s="231">
        <f t="shared" si="19"/>
        <v>0</v>
      </c>
      <c r="H79" s="231">
        <f t="shared" si="19"/>
        <v>2977.38</v>
      </c>
      <c r="I79" s="623"/>
      <c r="J79" s="231"/>
    </row>
    <row r="80" spans="1:10" x14ac:dyDescent="0.2">
      <c r="A80" s="735" t="s">
        <v>551</v>
      </c>
      <c r="B80" s="860">
        <f>+B78-B79</f>
        <v>0</v>
      </c>
      <c r="C80" s="860">
        <f t="shared" ref="C80:H80" si="20">+C78-C79</f>
        <v>0</v>
      </c>
      <c r="D80" s="860">
        <f t="shared" si="20"/>
        <v>0</v>
      </c>
      <c r="E80" s="860">
        <f t="shared" si="20"/>
        <v>0</v>
      </c>
      <c r="F80" s="860">
        <f t="shared" si="20"/>
        <v>0</v>
      </c>
      <c r="G80" s="860">
        <f t="shared" si="20"/>
        <v>0</v>
      </c>
      <c r="H80" s="860">
        <f t="shared" si="20"/>
        <v>-2977.38</v>
      </c>
      <c r="I80" s="623"/>
      <c r="J80" s="231"/>
    </row>
    <row r="81" spans="1:10" x14ac:dyDescent="0.2">
      <c r="A81" s="735" t="s">
        <v>554</v>
      </c>
      <c r="B81" s="232" t="str">
        <f>IF(ISERROR((+B78/B79)),"",(+B78/B79))</f>
        <v/>
      </c>
      <c r="C81" s="232" t="str">
        <f t="shared" ref="C81:H81" si="21">IF(ISERROR((+C78/C79)),"",(+C78/C79))</f>
        <v/>
      </c>
      <c r="D81" s="232" t="str">
        <f t="shared" si="21"/>
        <v/>
      </c>
      <c r="E81" s="232" t="str">
        <f t="shared" si="21"/>
        <v/>
      </c>
      <c r="F81" s="232" t="str">
        <f t="shared" si="21"/>
        <v/>
      </c>
      <c r="G81" s="232" t="str">
        <f t="shared" si="21"/>
        <v/>
      </c>
      <c r="H81" s="232">
        <f t="shared" si="21"/>
        <v>0</v>
      </c>
      <c r="I81" s="623"/>
      <c r="J81" s="232"/>
    </row>
    <row r="82" spans="1:10" x14ac:dyDescent="0.2">
      <c r="I82" s="623"/>
    </row>
    <row r="83" spans="1:10" x14ac:dyDescent="0.2">
      <c r="A83" s="173" t="s">
        <v>555</v>
      </c>
      <c r="B83" s="170"/>
      <c r="I83" s="623"/>
    </row>
    <row r="84" spans="1:10" x14ac:dyDescent="0.2">
      <c r="A84" s="735" t="s">
        <v>556</v>
      </c>
      <c r="B84" s="231">
        <f>B17</f>
        <v>0</v>
      </c>
      <c r="C84" s="231">
        <f t="shared" ref="C84:H84" si="22">C17</f>
        <v>0</v>
      </c>
      <c r="D84" s="231">
        <f t="shared" si="22"/>
        <v>0</v>
      </c>
      <c r="E84" s="231">
        <f t="shared" si="22"/>
        <v>0</v>
      </c>
      <c r="F84" s="231">
        <f t="shared" si="22"/>
        <v>0</v>
      </c>
      <c r="G84" s="231">
        <f t="shared" si="22"/>
        <v>0</v>
      </c>
      <c r="H84" s="231">
        <f t="shared" si="22"/>
        <v>0</v>
      </c>
      <c r="I84" s="623"/>
      <c r="J84" s="231"/>
    </row>
    <row r="85" spans="1:10" x14ac:dyDescent="0.2">
      <c r="A85" s="735" t="s">
        <v>557</v>
      </c>
      <c r="B85" s="231">
        <f>B37</f>
        <v>0</v>
      </c>
      <c r="C85" s="231">
        <f t="shared" ref="C85:H85" si="23">C37</f>
        <v>0</v>
      </c>
      <c r="D85" s="231">
        <f t="shared" si="23"/>
        <v>0</v>
      </c>
      <c r="E85" s="231">
        <f t="shared" si="23"/>
        <v>0</v>
      </c>
      <c r="F85" s="231">
        <f t="shared" si="23"/>
        <v>0</v>
      </c>
      <c r="G85" s="231">
        <f t="shared" si="23"/>
        <v>0</v>
      </c>
      <c r="H85" s="231">
        <f t="shared" si="23"/>
        <v>13461.960000000003</v>
      </c>
      <c r="I85" s="623"/>
      <c r="J85" s="231"/>
    </row>
    <row r="86" spans="1:10" x14ac:dyDescent="0.2">
      <c r="A86" s="735" t="s">
        <v>555</v>
      </c>
      <c r="B86" s="860">
        <f>+B84-B85</f>
        <v>0</v>
      </c>
      <c r="C86" s="860">
        <f t="shared" ref="C86:H86" si="24">+C84-C85</f>
        <v>0</v>
      </c>
      <c r="D86" s="860">
        <f t="shared" si="24"/>
        <v>0</v>
      </c>
      <c r="E86" s="860">
        <f t="shared" si="24"/>
        <v>0</v>
      </c>
      <c r="F86" s="860">
        <f t="shared" si="24"/>
        <v>0</v>
      </c>
      <c r="G86" s="860">
        <f t="shared" si="24"/>
        <v>0</v>
      </c>
      <c r="H86" s="860">
        <f t="shared" si="24"/>
        <v>-13461.960000000003</v>
      </c>
      <c r="I86" s="623"/>
      <c r="J86" s="231"/>
    </row>
    <row r="87" spans="1:10" x14ac:dyDescent="0.2">
      <c r="A87" s="735" t="s">
        <v>558</v>
      </c>
      <c r="B87" s="232" t="str">
        <f>IF(ISERROR((+B84/B85)),"",(+B84/B85))</f>
        <v/>
      </c>
      <c r="C87" s="232" t="str">
        <f t="shared" ref="C87:H87" si="25">IF(ISERROR((+C84/C85)),"",(+C84/C85))</f>
        <v/>
      </c>
      <c r="D87" s="232" t="str">
        <f t="shared" si="25"/>
        <v/>
      </c>
      <c r="E87" s="232" t="str">
        <f t="shared" si="25"/>
        <v/>
      </c>
      <c r="F87" s="232" t="str">
        <f t="shared" si="25"/>
        <v/>
      </c>
      <c r="G87" s="232" t="str">
        <f t="shared" si="25"/>
        <v/>
      </c>
      <c r="H87" s="232">
        <f t="shared" si="25"/>
        <v>0</v>
      </c>
      <c r="I87" s="623"/>
      <c r="J87" s="232"/>
    </row>
    <row r="88" spans="1:10" x14ac:dyDescent="0.2">
      <c r="I88" s="623"/>
    </row>
    <row r="89" spans="1:10" x14ac:dyDescent="0.2">
      <c r="A89" s="173" t="s">
        <v>559</v>
      </c>
      <c r="B89" s="170"/>
      <c r="I89" s="623"/>
    </row>
    <row r="90" spans="1:10" x14ac:dyDescent="0.2">
      <c r="A90" s="735" t="s">
        <v>560</v>
      </c>
      <c r="B90" s="231">
        <f>B18</f>
        <v>0</v>
      </c>
      <c r="C90" s="231">
        <f t="shared" ref="C90:H90" si="26">C18</f>
        <v>0</v>
      </c>
      <c r="D90" s="231">
        <f t="shared" si="26"/>
        <v>0</v>
      </c>
      <c r="E90" s="231">
        <f t="shared" si="26"/>
        <v>0</v>
      </c>
      <c r="F90" s="231">
        <f t="shared" si="26"/>
        <v>0</v>
      </c>
      <c r="G90" s="231">
        <f t="shared" si="26"/>
        <v>0</v>
      </c>
      <c r="H90" s="231">
        <f t="shared" si="26"/>
        <v>0</v>
      </c>
      <c r="I90" s="623"/>
      <c r="J90" s="231"/>
    </row>
    <row r="91" spans="1:10" x14ac:dyDescent="0.2">
      <c r="A91" s="735" t="s">
        <v>561</v>
      </c>
      <c r="B91" s="231">
        <f>B38</f>
        <v>0</v>
      </c>
      <c r="C91" s="231">
        <f t="shared" ref="C91:H91" si="27">C38</f>
        <v>0</v>
      </c>
      <c r="D91" s="231">
        <f t="shared" si="27"/>
        <v>0</v>
      </c>
      <c r="E91" s="231">
        <f t="shared" si="27"/>
        <v>0</v>
      </c>
      <c r="F91" s="231">
        <f t="shared" si="27"/>
        <v>0</v>
      </c>
      <c r="G91" s="231">
        <f t="shared" si="27"/>
        <v>0</v>
      </c>
      <c r="H91" s="231">
        <f t="shared" si="27"/>
        <v>15808.98</v>
      </c>
      <c r="I91" s="623"/>
      <c r="J91" s="231"/>
    </row>
    <row r="92" spans="1:10" x14ac:dyDescent="0.2">
      <c r="A92" s="735" t="s">
        <v>559</v>
      </c>
      <c r="B92" s="860">
        <f>+B90-B91</f>
        <v>0</v>
      </c>
      <c r="C92" s="860">
        <f t="shared" ref="C92" si="28">+C90-C91</f>
        <v>0</v>
      </c>
      <c r="D92" s="860">
        <f t="shared" ref="D92" si="29">+D90-D91</f>
        <v>0</v>
      </c>
      <c r="E92" s="860">
        <f t="shared" ref="E92" si="30">+E90-E91</f>
        <v>0</v>
      </c>
      <c r="F92" s="860">
        <f t="shared" ref="F92" si="31">+F90-F91</f>
        <v>0</v>
      </c>
      <c r="G92" s="860">
        <f t="shared" ref="G92" si="32">+G90-G91</f>
        <v>0</v>
      </c>
      <c r="H92" s="860">
        <f t="shared" ref="H92" si="33">+H90-H91</f>
        <v>-15808.98</v>
      </c>
      <c r="I92" s="623"/>
      <c r="J92" s="231"/>
    </row>
    <row r="93" spans="1:10" x14ac:dyDescent="0.2">
      <c r="A93" s="735" t="s">
        <v>562</v>
      </c>
      <c r="B93" s="232" t="str">
        <f>IF(ISERROR((+B90/B91)),"",(+B90/B91))</f>
        <v/>
      </c>
      <c r="C93" s="232" t="str">
        <f t="shared" ref="C93:H93" si="34">IF(ISERROR((+C90/C91)),"",(+C90/C91))</f>
        <v/>
      </c>
      <c r="D93" s="232" t="str">
        <f t="shared" si="34"/>
        <v/>
      </c>
      <c r="E93" s="232" t="str">
        <f t="shared" si="34"/>
        <v/>
      </c>
      <c r="F93" s="232" t="str">
        <f t="shared" si="34"/>
        <v/>
      </c>
      <c r="G93" s="232" t="str">
        <f t="shared" si="34"/>
        <v/>
      </c>
      <c r="H93" s="232">
        <f t="shared" si="34"/>
        <v>0</v>
      </c>
      <c r="I93" s="623"/>
      <c r="J93" s="232"/>
    </row>
    <row r="94" spans="1:10" x14ac:dyDescent="0.2">
      <c r="I94" s="623"/>
    </row>
    <row r="95" spans="1:10" x14ac:dyDescent="0.2">
      <c r="A95" s="173" t="s">
        <v>563</v>
      </c>
      <c r="B95" s="170"/>
      <c r="I95" s="623"/>
    </row>
    <row r="96" spans="1:10" x14ac:dyDescent="0.2">
      <c r="A96" s="735" t="s">
        <v>564</v>
      </c>
      <c r="B96" s="231">
        <f>B19</f>
        <v>0</v>
      </c>
      <c r="C96" s="231">
        <f t="shared" ref="C96:H96" si="35">C19</f>
        <v>0</v>
      </c>
      <c r="D96" s="231">
        <f t="shared" si="35"/>
        <v>0</v>
      </c>
      <c r="E96" s="231">
        <f t="shared" si="35"/>
        <v>0</v>
      </c>
      <c r="F96" s="231">
        <f t="shared" si="35"/>
        <v>0</v>
      </c>
      <c r="G96" s="231">
        <f t="shared" si="35"/>
        <v>0</v>
      </c>
      <c r="H96" s="231">
        <f t="shared" si="35"/>
        <v>74139</v>
      </c>
      <c r="I96" s="623"/>
      <c r="J96" s="231"/>
    </row>
    <row r="97" spans="1:10" x14ac:dyDescent="0.2">
      <c r="A97" s="735" t="s">
        <v>565</v>
      </c>
      <c r="B97" s="231">
        <f>B39</f>
        <v>0</v>
      </c>
      <c r="C97" s="231">
        <f t="shared" ref="C97:H97" si="36">C39</f>
        <v>0</v>
      </c>
      <c r="D97" s="231">
        <f t="shared" si="36"/>
        <v>0</v>
      </c>
      <c r="E97" s="231">
        <f t="shared" si="36"/>
        <v>0</v>
      </c>
      <c r="F97" s="231">
        <f t="shared" si="36"/>
        <v>0</v>
      </c>
      <c r="G97" s="231">
        <f t="shared" si="36"/>
        <v>0</v>
      </c>
      <c r="H97" s="231">
        <f t="shared" ca="1" si="36"/>
        <v>0</v>
      </c>
      <c r="I97" s="623"/>
      <c r="J97" s="231"/>
    </row>
    <row r="98" spans="1:10" x14ac:dyDescent="0.2">
      <c r="A98" s="735" t="s">
        <v>563</v>
      </c>
      <c r="B98" s="860">
        <f>+B96-B97</f>
        <v>0</v>
      </c>
      <c r="C98" s="860">
        <f t="shared" ref="C98" si="37">+C96-C97</f>
        <v>0</v>
      </c>
      <c r="D98" s="860">
        <f t="shared" ref="D98" si="38">+D96-D97</f>
        <v>0</v>
      </c>
      <c r="E98" s="860">
        <f t="shared" ref="E98" si="39">+E96-E97</f>
        <v>0</v>
      </c>
      <c r="F98" s="860">
        <f t="shared" ref="F98" si="40">+F96-F97</f>
        <v>0</v>
      </c>
      <c r="G98" s="860">
        <f t="shared" ref="G98" si="41">+G96-G97</f>
        <v>0</v>
      </c>
      <c r="H98" s="860">
        <f t="shared" ref="H98" ca="1" si="42">+H96-H97</f>
        <v>74139</v>
      </c>
      <c r="I98" s="623"/>
      <c r="J98" s="231"/>
    </row>
    <row r="99" spans="1:10" x14ac:dyDescent="0.2">
      <c r="A99" s="735" t="s">
        <v>566</v>
      </c>
      <c r="B99" s="232" t="str">
        <f>IF(ISERROR((+B96/B97)),"",(+B96/B97))</f>
        <v/>
      </c>
      <c r="C99" s="232" t="str">
        <f t="shared" ref="C99:H99" si="43">IF(ISERROR((+C96/C97)),"",(+C96/C97))</f>
        <v/>
      </c>
      <c r="D99" s="232" t="str">
        <f t="shared" si="43"/>
        <v/>
      </c>
      <c r="E99" s="232" t="str">
        <f t="shared" si="43"/>
        <v/>
      </c>
      <c r="F99" s="232" t="str">
        <f t="shared" si="43"/>
        <v/>
      </c>
      <c r="G99" s="232" t="str">
        <f t="shared" si="43"/>
        <v/>
      </c>
      <c r="H99" s="232" t="str">
        <f t="shared" ca="1" si="43"/>
        <v/>
      </c>
      <c r="I99" s="623"/>
      <c r="J99" s="232"/>
    </row>
    <row r="100" spans="1:10" x14ac:dyDescent="0.2">
      <c r="I100" s="623"/>
    </row>
    <row r="101" spans="1:10" x14ac:dyDescent="0.2">
      <c r="A101" s="173" t="s">
        <v>567</v>
      </c>
      <c r="B101" s="170"/>
      <c r="I101" s="623"/>
    </row>
    <row r="102" spans="1:10" x14ac:dyDescent="0.2">
      <c r="A102" s="735" t="s">
        <v>568</v>
      </c>
      <c r="B102" s="231">
        <f>SUM(B18:B19)</f>
        <v>0</v>
      </c>
      <c r="C102" s="231">
        <f t="shared" ref="C102:H102" si="44">SUM(C18:C19)</f>
        <v>0</v>
      </c>
      <c r="D102" s="231">
        <f t="shared" si="44"/>
        <v>0</v>
      </c>
      <c r="E102" s="231">
        <f t="shared" si="44"/>
        <v>0</v>
      </c>
      <c r="F102" s="231">
        <f t="shared" si="44"/>
        <v>0</v>
      </c>
      <c r="G102" s="231">
        <f t="shared" si="44"/>
        <v>0</v>
      </c>
      <c r="H102" s="231">
        <f t="shared" si="44"/>
        <v>74139</v>
      </c>
      <c r="I102" s="623"/>
      <c r="J102" s="231"/>
    </row>
    <row r="103" spans="1:10" x14ac:dyDescent="0.2">
      <c r="A103" s="735" t="s">
        <v>569</v>
      </c>
      <c r="B103" s="231">
        <f>SUM(B38:B39)</f>
        <v>0</v>
      </c>
      <c r="C103" s="231">
        <f t="shared" ref="C103:H103" si="45">SUM(C38:C39)</f>
        <v>0</v>
      </c>
      <c r="D103" s="231">
        <f t="shared" si="45"/>
        <v>0</v>
      </c>
      <c r="E103" s="231">
        <f t="shared" si="45"/>
        <v>0</v>
      </c>
      <c r="F103" s="231">
        <f t="shared" si="45"/>
        <v>0</v>
      </c>
      <c r="G103" s="231">
        <f t="shared" si="45"/>
        <v>0</v>
      </c>
      <c r="H103" s="231">
        <f t="shared" ca="1" si="45"/>
        <v>15808.98</v>
      </c>
      <c r="I103" s="623"/>
      <c r="J103" s="231"/>
    </row>
    <row r="104" spans="1:10" x14ac:dyDescent="0.2">
      <c r="A104" s="735" t="s">
        <v>567</v>
      </c>
      <c r="B104" s="860">
        <f>+B102-B103</f>
        <v>0</v>
      </c>
      <c r="C104" s="860">
        <f t="shared" ref="C104" si="46">+C102-C103</f>
        <v>0</v>
      </c>
      <c r="D104" s="860">
        <f t="shared" ref="D104" si="47">+D102-D103</f>
        <v>0</v>
      </c>
      <c r="E104" s="860">
        <f t="shared" ref="E104" si="48">+E102-E103</f>
        <v>0</v>
      </c>
      <c r="F104" s="860">
        <f t="shared" ref="F104" si="49">+F102-F103</f>
        <v>0</v>
      </c>
      <c r="G104" s="860">
        <f t="shared" ref="G104" si="50">+G102-G103</f>
        <v>0</v>
      </c>
      <c r="H104" s="860">
        <f t="shared" ref="H104" ca="1" si="51">+H102-H103</f>
        <v>58330.020000000004</v>
      </c>
      <c r="I104" s="623"/>
      <c r="J104" s="231"/>
    </row>
    <row r="105" spans="1:10" x14ac:dyDescent="0.2">
      <c r="A105" s="735" t="s">
        <v>570</v>
      </c>
      <c r="B105" s="232" t="str">
        <f>IF(ISERROR((+B102/B103)),"",(+B102/B103))</f>
        <v/>
      </c>
      <c r="C105" s="232" t="str">
        <f t="shared" ref="C105:H105" si="52">IF(ISERROR((+C102/C103)),"",(+C102/C103))</f>
        <v/>
      </c>
      <c r="D105" s="232" t="str">
        <f t="shared" si="52"/>
        <v/>
      </c>
      <c r="E105" s="232" t="str">
        <f t="shared" si="52"/>
        <v/>
      </c>
      <c r="F105" s="232" t="str">
        <f t="shared" si="52"/>
        <v/>
      </c>
      <c r="G105" s="232" t="str">
        <f t="shared" si="52"/>
        <v/>
      </c>
      <c r="H105" s="232">
        <f t="shared" ca="1" si="52"/>
        <v>4.6896763738077976</v>
      </c>
      <c r="I105" s="232"/>
      <c r="J105" s="232"/>
    </row>
    <row r="110" spans="1:10" x14ac:dyDescent="0.2">
      <c r="A110" s="187" t="s">
        <v>571</v>
      </c>
      <c r="B110" s="187">
        <f>+B60</f>
        <v>2019</v>
      </c>
      <c r="C110" s="187">
        <f t="shared" ref="C110:E110" si="53">+C60</f>
        <v>2020</v>
      </c>
      <c r="D110" s="187">
        <f t="shared" si="53"/>
        <v>2021</v>
      </c>
      <c r="E110" s="187" t="str">
        <f t="shared" si="53"/>
        <v>Trailing 12</v>
      </c>
      <c r="F110" s="187" t="str">
        <f>LEFT(F31,4)&amp;" Ann."</f>
        <v>2022 Ann.</v>
      </c>
      <c r="G110" s="187" t="s">
        <v>498</v>
      </c>
      <c r="H110" s="187" t="s">
        <v>475</v>
      </c>
      <c r="I110" s="187"/>
      <c r="J110" s="187"/>
    </row>
  </sheetData>
  <mergeCells count="8">
    <mergeCell ref="F59:F60"/>
    <mergeCell ref="G59:G60"/>
    <mergeCell ref="A64:H64"/>
    <mergeCell ref="A1:G1"/>
    <mergeCell ref="A3:G3"/>
    <mergeCell ref="F4:F5"/>
    <mergeCell ref="G4:G5"/>
    <mergeCell ref="A29:G2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1CD38-0102-4834-932D-032EA85C1A01}">
  <sheetPr codeName="Sheet13">
    <tabColor rgb="FF7030A0"/>
  </sheetPr>
  <dimension ref="A1"/>
  <sheetViews>
    <sheetView workbookViewId="0">
      <selection activeCell="M58" sqref="M58"/>
    </sheetView>
  </sheetViews>
  <sheetFormatPr baseColWidth="10" defaultColWidth="9.1640625" defaultRowHeight="15" x14ac:dyDescent="0.2"/>
  <cols>
    <col min="1" max="16384" width="9.1640625" style="163"/>
  </cols>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905EA-A685-4ADC-9128-6A2E339F78B9}">
  <sheetPr codeName="Sheet14">
    <tabColor rgb="FF7030A0"/>
    <pageSetUpPr fitToPage="1"/>
  </sheetPr>
  <dimension ref="A1:C41"/>
  <sheetViews>
    <sheetView workbookViewId="0">
      <selection activeCell="M58" sqref="M58"/>
    </sheetView>
  </sheetViews>
  <sheetFormatPr baseColWidth="10" defaultColWidth="9.1640625" defaultRowHeight="15" x14ac:dyDescent="0.2"/>
  <cols>
    <col min="1" max="1" width="9.1640625" style="163"/>
    <col min="2" max="2" width="53.83203125" style="163" bestFit="1" customWidth="1"/>
    <col min="3" max="3" width="108.1640625" style="163" bestFit="1" customWidth="1"/>
    <col min="4" max="16384" width="9.1640625" style="163"/>
  </cols>
  <sheetData>
    <row r="1" spans="1:3" x14ac:dyDescent="0.2">
      <c r="A1" s="895" t="s">
        <v>572</v>
      </c>
      <c r="B1" s="895"/>
      <c r="C1" s="895"/>
    </row>
    <row r="2" spans="1:3" x14ac:dyDescent="0.2">
      <c r="A2" s="736">
        <v>1</v>
      </c>
      <c r="B2" s="733" t="s">
        <v>504</v>
      </c>
    </row>
    <row r="3" spans="1:3" x14ac:dyDescent="0.2">
      <c r="A3" s="737">
        <v>2</v>
      </c>
      <c r="B3" s="738" t="s">
        <v>505</v>
      </c>
      <c r="C3" s="223" t="s">
        <v>573</v>
      </c>
    </row>
    <row r="4" spans="1:3" x14ac:dyDescent="0.2">
      <c r="A4" s="736">
        <v>3</v>
      </c>
      <c r="B4" s="733" t="s">
        <v>506</v>
      </c>
      <c r="C4" s="163" t="s">
        <v>573</v>
      </c>
    </row>
    <row r="5" spans="1:3" x14ac:dyDescent="0.2">
      <c r="A5" s="737">
        <v>4</v>
      </c>
      <c r="B5" s="738" t="s">
        <v>507</v>
      </c>
      <c r="C5" s="223" t="s">
        <v>574</v>
      </c>
    </row>
    <row r="6" spans="1:3" x14ac:dyDescent="0.2">
      <c r="A6" s="736">
        <v>4403</v>
      </c>
      <c r="B6" s="733" t="s">
        <v>157</v>
      </c>
      <c r="C6" s="163" t="s">
        <v>575</v>
      </c>
    </row>
    <row r="7" spans="1:3" x14ac:dyDescent="0.2">
      <c r="A7" s="737">
        <v>4401</v>
      </c>
      <c r="B7" s="738" t="s">
        <v>158</v>
      </c>
      <c r="C7" s="223" t="s">
        <v>575</v>
      </c>
    </row>
    <row r="8" spans="1:3" x14ac:dyDescent="0.2">
      <c r="A8" s="736">
        <v>4404</v>
      </c>
      <c r="B8" s="733" t="s">
        <v>159</v>
      </c>
      <c r="C8" s="163" t="s">
        <v>575</v>
      </c>
    </row>
    <row r="9" spans="1:3" x14ac:dyDescent="0.2">
      <c r="A9" s="737">
        <v>4405</v>
      </c>
      <c r="B9" s="738" t="s">
        <v>160</v>
      </c>
      <c r="C9" s="223" t="s">
        <v>575</v>
      </c>
    </row>
    <row r="10" spans="1:3" x14ac:dyDescent="0.2">
      <c r="A10" s="736">
        <v>4402</v>
      </c>
      <c r="B10" s="733" t="s">
        <v>161</v>
      </c>
      <c r="C10" s="163" t="s">
        <v>575</v>
      </c>
    </row>
    <row r="11" spans="1:3" x14ac:dyDescent="0.2">
      <c r="A11" s="737">
        <v>4998</v>
      </c>
      <c r="B11" s="738" t="s">
        <v>162</v>
      </c>
      <c r="C11" s="223" t="s">
        <v>576</v>
      </c>
    </row>
    <row r="12" spans="1:3" x14ac:dyDescent="0.2">
      <c r="A12" s="736">
        <v>4134</v>
      </c>
      <c r="B12" s="733" t="s">
        <v>508</v>
      </c>
      <c r="C12" s="224" t="s">
        <v>577</v>
      </c>
    </row>
    <row r="15" spans="1:3" x14ac:dyDescent="0.2">
      <c r="A15" s="895" t="s">
        <v>578</v>
      </c>
      <c r="B15" s="895"/>
      <c r="C15" s="895"/>
    </row>
    <row r="17" spans="1:3" ht="16" thickBot="1" x14ac:dyDescent="0.25">
      <c r="A17" s="225" t="s">
        <v>579</v>
      </c>
      <c r="B17" s="225" t="s">
        <v>580</v>
      </c>
      <c r="C17" s="225" t="s">
        <v>581</v>
      </c>
    </row>
    <row r="18" spans="1:3" x14ac:dyDescent="0.2">
      <c r="A18" s="736">
        <v>5701</v>
      </c>
      <c r="B18" s="733" t="s">
        <v>533</v>
      </c>
      <c r="C18" s="163" t="s">
        <v>582</v>
      </c>
    </row>
    <row r="19" spans="1:3" x14ac:dyDescent="0.2">
      <c r="A19" s="737">
        <v>5305</v>
      </c>
      <c r="B19" s="738" t="s">
        <v>175</v>
      </c>
      <c r="C19" s="223" t="s">
        <v>583</v>
      </c>
    </row>
    <row r="20" spans="1:3" x14ac:dyDescent="0.2">
      <c r="A20" s="736">
        <v>5306</v>
      </c>
      <c r="B20" s="733" t="s">
        <v>176</v>
      </c>
      <c r="C20" s="163" t="s">
        <v>584</v>
      </c>
    </row>
    <row r="21" spans="1:3" x14ac:dyDescent="0.2">
      <c r="A21" s="737">
        <v>5404</v>
      </c>
      <c r="B21" s="738" t="s">
        <v>157</v>
      </c>
      <c r="C21" s="223" t="s">
        <v>585</v>
      </c>
    </row>
    <row r="22" spans="1:3" x14ac:dyDescent="0.2">
      <c r="A22" s="736">
        <v>5401</v>
      </c>
      <c r="B22" s="733" t="s">
        <v>534</v>
      </c>
      <c r="C22" s="163" t="s">
        <v>586</v>
      </c>
    </row>
    <row r="23" spans="1:3" x14ac:dyDescent="0.2">
      <c r="A23" s="737">
        <v>5405</v>
      </c>
      <c r="B23" s="738" t="s">
        <v>159</v>
      </c>
      <c r="C23" s="223" t="s">
        <v>587</v>
      </c>
    </row>
    <row r="24" spans="1:3" x14ac:dyDescent="0.2">
      <c r="A24" s="736">
        <v>5403</v>
      </c>
      <c r="B24" s="733" t="s">
        <v>178</v>
      </c>
      <c r="C24" s="163" t="s">
        <v>588</v>
      </c>
    </row>
    <row r="25" spans="1:3" x14ac:dyDescent="0.2">
      <c r="A25" s="737">
        <v>5402</v>
      </c>
      <c r="B25" s="738" t="s">
        <v>179</v>
      </c>
      <c r="C25" s="223" t="s">
        <v>589</v>
      </c>
    </row>
    <row r="26" spans="1:3" x14ac:dyDescent="0.2">
      <c r="A26" s="736">
        <v>5603</v>
      </c>
      <c r="B26" s="733" t="s">
        <v>535</v>
      </c>
      <c r="C26" s="163" t="s">
        <v>590</v>
      </c>
    </row>
    <row r="27" spans="1:3" x14ac:dyDescent="0.2">
      <c r="A27" s="737">
        <v>5020</v>
      </c>
      <c r="B27" s="738" t="s">
        <v>181</v>
      </c>
      <c r="C27" s="223" t="s">
        <v>591</v>
      </c>
    </row>
    <row r="28" spans="1:3" x14ac:dyDescent="0.2">
      <c r="A28" s="736">
        <v>5104</v>
      </c>
      <c r="B28" s="733" t="s">
        <v>592</v>
      </c>
      <c r="C28" s="163" t="s">
        <v>593</v>
      </c>
    </row>
    <row r="29" spans="1:3" x14ac:dyDescent="0.2">
      <c r="A29" s="737">
        <v>5109</v>
      </c>
      <c r="B29" s="738" t="s">
        <v>182</v>
      </c>
      <c r="C29" s="223" t="s">
        <v>594</v>
      </c>
    </row>
    <row r="30" spans="1:3" x14ac:dyDescent="0.2">
      <c r="A30" s="736">
        <v>5200</v>
      </c>
      <c r="B30" s="733" t="s">
        <v>183</v>
      </c>
      <c r="C30" s="163" t="s">
        <v>595</v>
      </c>
    </row>
    <row r="31" spans="1:3" x14ac:dyDescent="0.2">
      <c r="A31" s="737">
        <v>5301</v>
      </c>
      <c r="B31" s="226" t="s">
        <v>536</v>
      </c>
      <c r="C31" s="223"/>
    </row>
    <row r="32" spans="1:3" x14ac:dyDescent="0.2">
      <c r="A32" s="736">
        <v>5053</v>
      </c>
      <c r="B32" s="733" t="s">
        <v>185</v>
      </c>
    </row>
    <row r="33" spans="1:3" x14ac:dyDescent="0.2">
      <c r="A33" s="737">
        <v>5604</v>
      </c>
      <c r="B33" s="738" t="s">
        <v>186</v>
      </c>
      <c r="C33" s="223" t="s">
        <v>596</v>
      </c>
    </row>
    <row r="34" spans="1:3" x14ac:dyDescent="0.2">
      <c r="A34" s="736">
        <v>5062</v>
      </c>
      <c r="B34" s="733" t="s">
        <v>187</v>
      </c>
      <c r="C34" s="163" t="s">
        <v>597</v>
      </c>
    </row>
    <row r="35" spans="1:3" x14ac:dyDescent="0.2">
      <c r="A35" s="737">
        <v>5302</v>
      </c>
      <c r="B35" s="738" t="s">
        <v>188</v>
      </c>
      <c r="C35" s="223" t="s">
        <v>598</v>
      </c>
    </row>
    <row r="36" spans="1:3" x14ac:dyDescent="0.2">
      <c r="A36" s="736">
        <v>5001</v>
      </c>
      <c r="B36" s="733" t="s">
        <v>189</v>
      </c>
      <c r="C36" s="163" t="s">
        <v>599</v>
      </c>
    </row>
    <row r="37" spans="1:3" x14ac:dyDescent="0.2">
      <c r="A37" s="737">
        <v>5061</v>
      </c>
      <c r="B37" s="738" t="s">
        <v>190</v>
      </c>
      <c r="C37" s="223" t="s">
        <v>600</v>
      </c>
    </row>
    <row r="38" spans="1:3" x14ac:dyDescent="0.2">
      <c r="A38" s="736">
        <v>5304</v>
      </c>
      <c r="B38" s="733" t="s">
        <v>191</v>
      </c>
      <c r="C38" s="163" t="s">
        <v>601</v>
      </c>
    </row>
    <row r="39" spans="1:3" x14ac:dyDescent="0.2">
      <c r="A39" s="737">
        <v>5064</v>
      </c>
      <c r="B39" s="738" t="s">
        <v>192</v>
      </c>
      <c r="C39" s="223" t="s">
        <v>602</v>
      </c>
    </row>
    <row r="40" spans="1:3" x14ac:dyDescent="0.2">
      <c r="A40" s="736">
        <v>5601</v>
      </c>
      <c r="B40" s="733" t="s">
        <v>193</v>
      </c>
      <c r="C40" s="163" t="s">
        <v>603</v>
      </c>
    </row>
    <row r="41" spans="1:3" x14ac:dyDescent="0.2">
      <c r="A41" s="737">
        <v>5000</v>
      </c>
      <c r="B41" s="738" t="s">
        <v>516</v>
      </c>
      <c r="C41" s="223" t="s">
        <v>604</v>
      </c>
    </row>
  </sheetData>
  <mergeCells count="2">
    <mergeCell ref="A1:C1"/>
    <mergeCell ref="A15:C15"/>
  </mergeCells>
  <pageMargins left="0.2" right="0.2" top="0.25" bottom="0.25" header="0.3" footer="0.3"/>
  <pageSetup scale="7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FC64E-E2C4-49DD-9354-6DEC28E1B8F3}">
  <sheetPr>
    <tabColor rgb="FF7030A0"/>
  </sheetPr>
  <dimension ref="A1:AC26"/>
  <sheetViews>
    <sheetView workbookViewId="0">
      <selection activeCell="M58" sqref="M58"/>
    </sheetView>
  </sheetViews>
  <sheetFormatPr baseColWidth="10" defaultColWidth="9.1640625" defaultRowHeight="13" x14ac:dyDescent="0.15"/>
  <cols>
    <col min="1" max="1" width="31.5" style="44" customWidth="1"/>
    <col min="2" max="2" width="45.5" style="360" customWidth="1"/>
    <col min="3" max="3" width="9.1640625" style="44"/>
    <col min="4" max="4" width="12.1640625" style="44" bestFit="1" customWidth="1"/>
    <col min="5" max="8" width="9.1640625" style="44"/>
    <col min="9" max="9" width="13.83203125" style="44" bestFit="1" customWidth="1"/>
    <col min="10" max="10" width="13.83203125" style="44" customWidth="1"/>
    <col min="11" max="11" width="11.1640625" style="44" bestFit="1" customWidth="1"/>
    <col min="12" max="12" width="11.1640625" style="44" customWidth="1"/>
    <col min="13" max="13" width="12.1640625" style="44" bestFit="1" customWidth="1"/>
    <col min="14" max="14" width="12.1640625" style="44" customWidth="1"/>
    <col min="15" max="15" width="9.1640625" style="44"/>
    <col min="16" max="16" width="13.83203125" style="44" bestFit="1" customWidth="1"/>
    <col min="17" max="17" width="13.83203125" style="44" customWidth="1"/>
    <col min="18" max="24" width="9.1640625" style="44"/>
    <col min="25" max="25" width="21.83203125" style="44" customWidth="1"/>
    <col min="26" max="16384" width="9.1640625" style="44"/>
  </cols>
  <sheetData>
    <row r="1" spans="1:29" ht="15" x14ac:dyDescent="0.2">
      <c r="A1" s="912" t="s">
        <v>605</v>
      </c>
      <c r="B1" s="912"/>
      <c r="D1" s="356" t="s">
        <v>606</v>
      </c>
      <c r="E1" s="356" t="s">
        <v>607</v>
      </c>
      <c r="F1" s="356" t="s">
        <v>608</v>
      </c>
      <c r="G1" s="356" t="s">
        <v>609</v>
      </c>
      <c r="H1" s="356" t="s">
        <v>610</v>
      </c>
      <c r="I1" s="356" t="s">
        <v>611</v>
      </c>
      <c r="J1" s="356" t="s">
        <v>612</v>
      </c>
      <c r="K1" s="356" t="s">
        <v>613</v>
      </c>
      <c r="L1" s="356" t="s">
        <v>614</v>
      </c>
      <c r="M1" s="356" t="s">
        <v>615</v>
      </c>
      <c r="N1" s="356" t="s">
        <v>616</v>
      </c>
      <c r="O1" s="356" t="s">
        <v>617</v>
      </c>
      <c r="P1" s="356" t="s">
        <v>618</v>
      </c>
      <c r="Q1" s="356" t="s">
        <v>619</v>
      </c>
      <c r="R1" s="356" t="s">
        <v>620</v>
      </c>
      <c r="S1" s="356" t="s">
        <v>621</v>
      </c>
      <c r="T1" s="356" t="s">
        <v>622</v>
      </c>
      <c r="U1" s="356" t="s">
        <v>623</v>
      </c>
      <c r="V1" s="356" t="s">
        <v>624</v>
      </c>
      <c r="W1" s="356" t="s">
        <v>625</v>
      </c>
      <c r="X1" s="356" t="s">
        <v>626</v>
      </c>
      <c r="Y1" s="356" t="s">
        <v>627</v>
      </c>
      <c r="Z1" s="356" t="s">
        <v>628</v>
      </c>
      <c r="AA1" s="356" t="s">
        <v>629</v>
      </c>
      <c r="AB1" s="356" t="s">
        <v>630</v>
      </c>
      <c r="AC1" s="356"/>
    </row>
    <row r="2" spans="1:29" x14ac:dyDescent="0.15">
      <c r="A2" s="44" t="s">
        <v>631</v>
      </c>
      <c r="B2" s="364">
        <f>TODAY()</f>
        <v>44035</v>
      </c>
      <c r="D2" s="357" t="str">
        <f>TEXT(B2, "MMMM D, YYYY")</f>
        <v>July 23, 2020</v>
      </c>
      <c r="E2" s="356" t="str">
        <f>B3</f>
        <v xml:space="preserve">Timberline Estates </v>
      </c>
      <c r="F2" s="356" t="str">
        <f>B4</f>
        <v xml:space="preserve"> 14876 Washington Road, West Burlington, IA 52655</v>
      </c>
      <c r="G2" s="356" t="str">
        <f>B5</f>
        <v>Elias Weiner</v>
      </c>
      <c r="H2" s="356" t="str">
        <f>B6</f>
        <v>Owner of Record</v>
      </c>
      <c r="I2" s="358" t="str">
        <f>TEXT(B7,"$##,###,###")</f>
        <v>$4,503,406</v>
      </c>
      <c r="J2" s="358" t="str">
        <f>B8</f>
        <v xml:space="preserve">One Million  </v>
      </c>
      <c r="K2" s="358" t="str">
        <f>TEXT(B9,"$###,###")</f>
        <v>$20,000</v>
      </c>
      <c r="L2" s="358" t="str">
        <f>B10</f>
        <v>Twenty Thousand</v>
      </c>
      <c r="M2" s="358" t="e">
        <f>TEXT(B11,"$##,###,###")</f>
        <v>#REF!</v>
      </c>
      <c r="N2" s="358" t="str">
        <f>B12</f>
        <v>Three Hundred Thousand</v>
      </c>
      <c r="O2" s="359" t="e">
        <f>TEXT(B13,"##%")</f>
        <v>#REF!</v>
      </c>
      <c r="P2" s="358" t="e">
        <f>TEXT(B14,"$##,###,###")</f>
        <v>#REF!</v>
      </c>
      <c r="Q2" s="358" t="str">
        <f>B15</f>
        <v>Seven Hundred Thousand</v>
      </c>
      <c r="R2" s="359" t="e">
        <f>TEXT(B16,"##%")</f>
        <v>#REF!</v>
      </c>
      <c r="S2" s="356">
        <f>B17</f>
        <v>45</v>
      </c>
      <c r="T2" s="356" t="str">
        <f>B18</f>
        <v>Forty-Five</v>
      </c>
      <c r="U2" s="356">
        <f>B19</f>
        <v>75</v>
      </c>
      <c r="V2" s="356" t="str">
        <f>B20</f>
        <v>Seventy-Five</v>
      </c>
      <c r="W2" s="356">
        <f>B21</f>
        <v>90</v>
      </c>
      <c r="X2" s="356" t="str">
        <f>B22</f>
        <v>Ninety</v>
      </c>
      <c r="Y2" s="357" t="str">
        <f>TEXT(B23, "DDDD, MMMM D, YYYY")</f>
        <v>Tuesday, July 28, 2020</v>
      </c>
      <c r="Z2" s="356" t="str">
        <f>B24</f>
        <v>Old Republic Title</v>
      </c>
      <c r="AA2" s="356" t="str">
        <f>B25</f>
        <v>California</v>
      </c>
      <c r="AB2" s="356" t="str">
        <f>B26</f>
        <v>Enter Broker Name Here</v>
      </c>
      <c r="AC2" s="356"/>
    </row>
    <row r="3" spans="1:29" x14ac:dyDescent="0.15">
      <c r="A3" s="44" t="s">
        <v>632</v>
      </c>
      <c r="B3" s="83" t="str">
        <f>LEFT(Proforma!C1,SEARCH("-",Proforma!C1)-1)</f>
        <v xml:space="preserve">Timberline Estates </v>
      </c>
    </row>
    <row r="4" spans="1:29" x14ac:dyDescent="0.15">
      <c r="A4" s="44" t="s">
        <v>633</v>
      </c>
      <c r="B4" s="83" t="str">
        <f>RIGHT(Proforma!C1,LEN(Proforma!C1)-SEARCH("-",Proforma!C1))</f>
        <v xml:space="preserve"> 14876 Washington Road, West Burlington, IA 52655</v>
      </c>
    </row>
    <row r="5" spans="1:29" x14ac:dyDescent="0.15">
      <c r="A5" s="44" t="s">
        <v>609</v>
      </c>
      <c r="B5" s="634" t="s">
        <v>634</v>
      </c>
    </row>
    <row r="6" spans="1:29" x14ac:dyDescent="0.15">
      <c r="A6" s="44" t="s">
        <v>610</v>
      </c>
      <c r="B6" s="366" t="s">
        <v>635</v>
      </c>
    </row>
    <row r="7" spans="1:29" x14ac:dyDescent="0.15">
      <c r="A7" s="44" t="s">
        <v>43</v>
      </c>
      <c r="B7" s="361">
        <f>Proforma!D6</f>
        <v>4503406</v>
      </c>
    </row>
    <row r="8" spans="1:29" x14ac:dyDescent="0.15">
      <c r="A8" s="44" t="s">
        <v>636</v>
      </c>
      <c r="B8" s="367" t="s">
        <v>637</v>
      </c>
    </row>
    <row r="9" spans="1:29" x14ac:dyDescent="0.15">
      <c r="A9" s="44" t="s">
        <v>613</v>
      </c>
      <c r="B9" s="361">
        <v>20000</v>
      </c>
    </row>
    <row r="10" spans="1:29" x14ac:dyDescent="0.15">
      <c r="A10" s="44" t="s">
        <v>638</v>
      </c>
      <c r="B10" s="367" t="s">
        <v>639</v>
      </c>
    </row>
    <row r="11" spans="1:29" x14ac:dyDescent="0.15">
      <c r="A11" s="44" t="s">
        <v>640</v>
      </c>
      <c r="B11" s="362" t="e">
        <f>B7*(1-Proforma!#REF!)</f>
        <v>#REF!</v>
      </c>
    </row>
    <row r="12" spans="1:29" x14ac:dyDescent="0.15">
      <c r="A12" s="44" t="s">
        <v>641</v>
      </c>
      <c r="B12" s="367" t="s">
        <v>642</v>
      </c>
    </row>
    <row r="13" spans="1:29" x14ac:dyDescent="0.15">
      <c r="A13" s="44" t="s">
        <v>643</v>
      </c>
      <c r="B13" s="363" t="e">
        <f>B11/B7</f>
        <v>#REF!</v>
      </c>
    </row>
    <row r="14" spans="1:29" x14ac:dyDescent="0.15">
      <c r="A14" s="44" t="s">
        <v>618</v>
      </c>
      <c r="B14" s="365" t="e">
        <f>B7-B11</f>
        <v>#REF!</v>
      </c>
    </row>
    <row r="15" spans="1:29" x14ac:dyDescent="0.15">
      <c r="A15" s="44" t="s">
        <v>644</v>
      </c>
      <c r="B15" s="367" t="s">
        <v>645</v>
      </c>
    </row>
    <row r="16" spans="1:29" x14ac:dyDescent="0.15">
      <c r="A16" s="44" t="s">
        <v>646</v>
      </c>
      <c r="B16" s="363" t="e">
        <f>B14/B7</f>
        <v>#REF!</v>
      </c>
    </row>
    <row r="17" spans="1:2" x14ac:dyDescent="0.15">
      <c r="A17" s="44" t="s">
        <v>647</v>
      </c>
      <c r="B17" s="83">
        <v>45</v>
      </c>
    </row>
    <row r="18" spans="1:2" x14ac:dyDescent="0.15">
      <c r="A18" s="44" t="s">
        <v>648</v>
      </c>
      <c r="B18" s="368" t="s">
        <v>649</v>
      </c>
    </row>
    <row r="19" spans="1:2" x14ac:dyDescent="0.15">
      <c r="A19" s="44" t="s">
        <v>650</v>
      </c>
      <c r="B19" s="83">
        <v>75</v>
      </c>
    </row>
    <row r="20" spans="1:2" x14ac:dyDescent="0.15">
      <c r="A20" s="44" t="s">
        <v>651</v>
      </c>
      <c r="B20" s="368" t="s">
        <v>652</v>
      </c>
    </row>
    <row r="21" spans="1:2" x14ac:dyDescent="0.15">
      <c r="A21" s="44" t="s">
        <v>625</v>
      </c>
      <c r="B21" s="83">
        <v>90</v>
      </c>
    </row>
    <row r="22" spans="1:2" x14ac:dyDescent="0.15">
      <c r="A22" s="44" t="s">
        <v>653</v>
      </c>
      <c r="B22" s="368" t="s">
        <v>654</v>
      </c>
    </row>
    <row r="23" spans="1:2" x14ac:dyDescent="0.15">
      <c r="A23" s="44" t="s">
        <v>655</v>
      </c>
      <c r="B23" s="364">
        <f>5+B2</f>
        <v>44040</v>
      </c>
    </row>
    <row r="24" spans="1:2" x14ac:dyDescent="0.15">
      <c r="A24" s="44" t="s">
        <v>656</v>
      </c>
      <c r="B24" s="634" t="s">
        <v>657</v>
      </c>
    </row>
    <row r="25" spans="1:2" x14ac:dyDescent="0.15">
      <c r="A25" s="44" t="s">
        <v>658</v>
      </c>
      <c r="B25" s="634" t="s">
        <v>659</v>
      </c>
    </row>
    <row r="26" spans="1:2" x14ac:dyDescent="0.15">
      <c r="A26" s="44" t="s">
        <v>660</v>
      </c>
      <c r="B26" s="366" t="s">
        <v>661</v>
      </c>
    </row>
  </sheetData>
  <mergeCells count="1">
    <mergeCell ref="A1:B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C7F88-CAF0-4425-A084-0EAFE098B48C}">
  <sheetPr>
    <tabColor theme="9"/>
    <pageSetUpPr fitToPage="1"/>
  </sheetPr>
  <dimension ref="A1:AC112"/>
  <sheetViews>
    <sheetView workbookViewId="0">
      <selection activeCell="M58" sqref="M58"/>
    </sheetView>
  </sheetViews>
  <sheetFormatPr baseColWidth="10" defaultColWidth="0" defaultRowHeight="0" customHeight="1" zeroHeight="1" x14ac:dyDescent="0.2"/>
  <cols>
    <col min="1" max="1" width="1" style="385" customWidth="1"/>
    <col min="2" max="2" width="29.83203125" style="385" customWidth="1"/>
    <col min="3" max="3" width="15.1640625" style="385" customWidth="1"/>
    <col min="4" max="4" width="16.1640625" style="385" bestFit="1" customWidth="1"/>
    <col min="5" max="5" width="20.1640625" style="385" customWidth="1"/>
    <col min="6" max="7" width="10.83203125" style="386" bestFit="1" customWidth="1"/>
    <col min="8" max="9" width="10.1640625" style="386" bestFit="1" customWidth="1"/>
    <col min="10" max="10" width="12.1640625" style="386" customWidth="1"/>
    <col min="11" max="11" width="10.1640625" style="386" customWidth="1"/>
    <col min="12" max="13" width="10.1640625" style="386" bestFit="1" customWidth="1"/>
    <col min="14" max="14" width="11.83203125" style="386" customWidth="1"/>
    <col min="15" max="16" width="10.1640625" style="386" bestFit="1" customWidth="1"/>
    <col min="17" max="17" width="10.1640625" style="385" bestFit="1" customWidth="1"/>
    <col min="18" max="18" width="18.5" style="385" bestFit="1" customWidth="1"/>
    <col min="19" max="20" width="10.1640625" style="385" bestFit="1" customWidth="1"/>
    <col min="21" max="21" width="11.1640625" style="385" bestFit="1" customWidth="1"/>
    <col min="22" max="29" width="9.1640625" style="385" customWidth="1"/>
    <col min="30" max="16384" width="9.1640625" style="385" hidden="1"/>
  </cols>
  <sheetData>
    <row r="1" spans="1:21" ht="6.75" customHeight="1" x14ac:dyDescent="0.2"/>
    <row r="2" spans="1:21" ht="19" x14ac:dyDescent="0.25">
      <c r="B2" s="387" t="s">
        <v>662</v>
      </c>
      <c r="C2" s="388"/>
      <c r="D2" s="388"/>
      <c r="E2" s="388"/>
      <c r="F2" s="389"/>
      <c r="G2" s="389"/>
      <c r="H2" s="389"/>
      <c r="I2" s="389"/>
      <c r="J2" s="389"/>
      <c r="K2" s="389"/>
      <c r="L2" s="389"/>
      <c r="M2" s="389"/>
      <c r="N2" s="389"/>
      <c r="O2" s="389"/>
      <c r="P2" s="389"/>
      <c r="Q2" s="389"/>
      <c r="R2" s="389"/>
      <c r="S2" s="389"/>
      <c r="T2" s="389"/>
      <c r="U2" s="390"/>
    </row>
    <row r="3" spans="1:21" ht="5" customHeight="1" x14ac:dyDescent="0.2">
      <c r="B3" s="391"/>
      <c r="C3" s="392"/>
      <c r="D3" s="392"/>
      <c r="E3" s="392"/>
      <c r="F3" s="393"/>
      <c r="G3" s="393"/>
      <c r="H3" s="393"/>
      <c r="I3" s="393"/>
      <c r="J3" s="393"/>
      <c r="K3" s="393"/>
      <c r="L3" s="393"/>
      <c r="M3" s="393"/>
      <c r="N3" s="393"/>
      <c r="O3" s="393"/>
      <c r="P3" s="393"/>
      <c r="Q3" s="393"/>
      <c r="R3" s="393"/>
      <c r="S3" s="393"/>
      <c r="T3" s="393"/>
      <c r="U3" s="393"/>
    </row>
    <row r="4" spans="1:21" ht="16" x14ac:dyDescent="0.2">
      <c r="B4" s="391" t="s">
        <v>663</v>
      </c>
      <c r="C4" s="392"/>
      <c r="D4" s="394" t="s">
        <v>664</v>
      </c>
      <c r="E4" s="395"/>
      <c r="F4" s="396" t="s">
        <v>665</v>
      </c>
      <c r="G4" s="397">
        <v>10</v>
      </c>
      <c r="H4" s="393"/>
      <c r="I4" s="393"/>
      <c r="J4" s="393"/>
      <c r="K4" s="393"/>
      <c r="L4" s="393"/>
      <c r="M4" s="393"/>
      <c r="N4" s="398"/>
      <c r="O4" s="915"/>
      <c r="P4" s="915"/>
      <c r="Q4" s="915"/>
      <c r="R4" s="915"/>
      <c r="S4" s="915"/>
      <c r="T4" s="393"/>
      <c r="U4" s="393"/>
    </row>
    <row r="5" spans="1:21" ht="16" x14ac:dyDescent="0.2">
      <c r="A5" s="385" t="b">
        <f>AND(E5="Yes", H14&lt;Equity_Share_Sponsor)</f>
        <v>0</v>
      </c>
      <c r="B5" s="391" t="s">
        <v>666</v>
      </c>
      <c r="C5" s="392"/>
      <c r="D5" s="399" t="s">
        <v>667</v>
      </c>
      <c r="E5" s="400" t="s">
        <v>85</v>
      </c>
      <c r="F5" s="401" t="s">
        <v>668</v>
      </c>
      <c r="G5" s="402">
        <f>Proforma!D99</f>
        <v>5</v>
      </c>
      <c r="H5" s="403" t="s">
        <v>669</v>
      </c>
      <c r="I5" s="393"/>
      <c r="J5" s="393"/>
      <c r="K5" s="393"/>
      <c r="L5" s="393"/>
      <c r="M5" s="393"/>
      <c r="N5" s="398"/>
      <c r="O5" s="915"/>
      <c r="P5" s="915"/>
      <c r="Q5" s="915"/>
      <c r="R5" s="915"/>
      <c r="S5" s="915"/>
      <c r="T5" s="393"/>
      <c r="U5" s="393"/>
    </row>
    <row r="6" spans="1:21" ht="5" customHeight="1" x14ac:dyDescent="0.2">
      <c r="B6" s="404"/>
      <c r="C6" s="404"/>
      <c r="D6" s="405"/>
      <c r="E6" s="404"/>
      <c r="F6" s="406"/>
      <c r="G6" s="406"/>
      <c r="H6" s="406"/>
      <c r="I6" s="406"/>
      <c r="J6" s="406"/>
      <c r="K6" s="406"/>
      <c r="L6" s="406"/>
      <c r="M6" s="393"/>
      <c r="N6" s="406"/>
      <c r="O6" s="406"/>
      <c r="P6" s="406"/>
      <c r="Q6" s="404"/>
      <c r="R6" s="404"/>
      <c r="S6" s="404"/>
      <c r="T6" s="404"/>
      <c r="U6" s="404"/>
    </row>
    <row r="7" spans="1:21" ht="17" thickBot="1" x14ac:dyDescent="0.25">
      <c r="B7" s="407" t="s">
        <v>670</v>
      </c>
      <c r="C7" s="408" t="s">
        <v>671</v>
      </c>
      <c r="D7" s="408" t="s">
        <v>672</v>
      </c>
      <c r="E7" s="401"/>
      <c r="F7" s="408" t="s">
        <v>673</v>
      </c>
      <c r="G7" s="409">
        <f>Proforma!E104</f>
        <v>5.5E-2</v>
      </c>
      <c r="H7" s="403" t="s">
        <v>674</v>
      </c>
      <c r="I7" s="406"/>
      <c r="J7" s="406"/>
      <c r="K7" s="406"/>
      <c r="L7" s="406"/>
      <c r="M7" s="393"/>
      <c r="N7" s="406"/>
      <c r="O7" s="406"/>
      <c r="P7" s="406"/>
      <c r="Q7" s="404"/>
      <c r="R7" s="404"/>
      <c r="S7" s="404"/>
      <c r="T7" s="404"/>
      <c r="U7" s="404"/>
    </row>
    <row r="8" spans="1:21" ht="15" x14ac:dyDescent="0.2">
      <c r="B8" s="404" t="s">
        <v>675</v>
      </c>
      <c r="C8" s="410">
        <v>0.05</v>
      </c>
      <c r="D8" s="411">
        <f ca="1">Equity_Share_Sponsor*Total_Equity</f>
        <v>217745.81246232698</v>
      </c>
      <c r="E8" s="404"/>
      <c r="F8" s="412"/>
      <c r="G8" s="403"/>
      <c r="H8" s="406"/>
      <c r="I8" s="406"/>
      <c r="J8" s="406"/>
      <c r="K8" s="413" t="s">
        <v>676</v>
      </c>
      <c r="L8" s="414" t="str">
        <f ca="1">IF(ROUND(L10,0)=ROUND(L9,0),"OK","Error")</f>
        <v>OK</v>
      </c>
      <c r="M8" s="406"/>
      <c r="N8" s="406"/>
      <c r="O8" s="406"/>
      <c r="P8" s="406"/>
      <c r="Q8" s="404"/>
      <c r="R8" s="404"/>
      <c r="S8" s="404"/>
      <c r="T8" s="404"/>
      <c r="U8" s="404"/>
    </row>
    <row r="9" spans="1:21" ht="15" x14ac:dyDescent="0.2">
      <c r="B9" s="404" t="s">
        <v>677</v>
      </c>
      <c r="C9" s="415">
        <f>1-C8</f>
        <v>0.95</v>
      </c>
      <c r="D9" s="416">
        <f ca="1">Total_Equity*Equity_Share_LP</f>
        <v>4137170.4367842125</v>
      </c>
      <c r="E9" s="404"/>
      <c r="F9" s="412"/>
      <c r="G9" s="417"/>
      <c r="H9" s="406"/>
      <c r="I9" s="406"/>
      <c r="J9" s="406"/>
      <c r="K9" s="418" t="s">
        <v>678</v>
      </c>
      <c r="L9" s="419">
        <f ca="1">(D23+D33)/1000000</f>
        <v>3.1132838254616755</v>
      </c>
      <c r="M9" s="406"/>
      <c r="N9" s="406"/>
      <c r="O9" s="406"/>
      <c r="P9" s="406"/>
      <c r="Q9" s="404"/>
      <c r="R9" s="420"/>
      <c r="S9" s="404"/>
      <c r="T9" s="404"/>
      <c r="U9" s="404"/>
    </row>
    <row r="10" spans="1:21" ht="16" thickBot="1" x14ac:dyDescent="0.25">
      <c r="B10" s="404" t="s">
        <v>679</v>
      </c>
      <c r="C10" s="421"/>
      <c r="D10" s="411">
        <f ca="1">-SUMIF(F47:U47,"&lt;0")</f>
        <v>4354916.2492465395</v>
      </c>
      <c r="E10" s="404"/>
      <c r="F10" s="412"/>
      <c r="G10" s="417"/>
      <c r="H10" s="406"/>
      <c r="I10" s="406"/>
      <c r="J10" s="406"/>
      <c r="K10" s="422" t="s">
        <v>680</v>
      </c>
      <c r="L10" s="423">
        <f ca="1">(SUM(F47:U47)+SUM(F40:U42))/1000000</f>
        <v>3.1132838254616759</v>
      </c>
      <c r="M10" s="406"/>
      <c r="N10" s="424"/>
      <c r="O10" s="406"/>
      <c r="P10" s="406"/>
      <c r="Q10" s="404"/>
      <c r="R10" s="420"/>
      <c r="S10" s="404"/>
      <c r="T10" s="404"/>
      <c r="U10" s="404"/>
    </row>
    <row r="11" spans="1:21" ht="5" customHeight="1" x14ac:dyDescent="0.2">
      <c r="B11" s="404"/>
      <c r="C11" s="421"/>
      <c r="D11" s="425"/>
      <c r="E11" s="404"/>
      <c r="F11" s="412"/>
      <c r="G11" s="417"/>
      <c r="H11" s="406"/>
      <c r="I11" s="406"/>
      <c r="J11" s="406"/>
      <c r="K11" s="406"/>
      <c r="L11" s="406"/>
      <c r="M11" s="406"/>
      <c r="N11" s="406"/>
      <c r="O11" s="406"/>
      <c r="P11" s="406"/>
      <c r="Q11" s="404"/>
      <c r="R11" s="404"/>
      <c r="S11" s="404"/>
      <c r="T11" s="404"/>
      <c r="U11" s="404"/>
    </row>
    <row r="12" spans="1:21" ht="15" x14ac:dyDescent="0.2">
      <c r="B12" s="404"/>
      <c r="C12" s="404"/>
      <c r="D12" s="405"/>
      <c r="E12" s="404"/>
      <c r="F12" s="916" t="s">
        <v>681</v>
      </c>
      <c r="G12" s="917"/>
      <c r="H12" s="920" t="s">
        <v>682</v>
      </c>
      <c r="I12" s="920"/>
      <c r="J12" s="426"/>
      <c r="K12" s="406"/>
      <c r="L12" s="406"/>
      <c r="M12" s="406"/>
      <c r="N12" s="406"/>
      <c r="O12" s="406"/>
      <c r="P12" s="406"/>
      <c r="Q12" s="404"/>
      <c r="R12" s="420"/>
      <c r="S12" s="404"/>
      <c r="T12" s="404"/>
      <c r="U12" s="404"/>
    </row>
    <row r="13" spans="1:21" ht="16" x14ac:dyDescent="0.2">
      <c r="B13" s="427" t="str">
        <f>IF(D4="Equity Multiple","Promote Structure (Equity Multiple Hurdles)","Promote Structure (IRR Hurdles)")</f>
        <v>Promote Structure (IRR Hurdles)</v>
      </c>
      <c r="C13" s="428"/>
      <c r="D13" s="429"/>
      <c r="E13" s="428"/>
      <c r="F13" s="918"/>
      <c r="G13" s="919"/>
      <c r="H13" s="430" t="s">
        <v>683</v>
      </c>
      <c r="I13" s="431" t="s">
        <v>684</v>
      </c>
      <c r="J13" s="432" t="s">
        <v>503</v>
      </c>
      <c r="K13" s="433"/>
      <c r="L13" s="433"/>
      <c r="M13" s="433"/>
      <c r="N13" s="433"/>
      <c r="O13" s="406"/>
      <c r="P13" s="406"/>
      <c r="Q13" s="404"/>
      <c r="R13" s="404"/>
      <c r="S13" s="404"/>
      <c r="T13" s="404"/>
      <c r="U13" s="404"/>
    </row>
    <row r="14" spans="1:21" ht="15" x14ac:dyDescent="0.2">
      <c r="B14" s="404" t="s">
        <v>685</v>
      </c>
      <c r="C14" s="434" t="s">
        <v>686</v>
      </c>
      <c r="D14" s="435" t="s">
        <v>687</v>
      </c>
      <c r="E14" s="436">
        <f>IF($D$4="Equity Multiple",C15,D15)</f>
        <v>7.0000000000000007E-2</v>
      </c>
      <c r="F14" s="437" t="s">
        <v>688</v>
      </c>
      <c r="G14" s="438"/>
      <c r="H14" s="439">
        <f>Equity_Share_Sponsor</f>
        <v>0.05</v>
      </c>
      <c r="I14" s="421">
        <f>1-H14</f>
        <v>0.95</v>
      </c>
      <c r="J14" s="921" t="str">
        <f>IF(I14=Equity_Share_LP,"Pref prorata to LP/GP, then Pro rata return of capital",IF(CU?,"Return of capital and Pref NOT pro rata + GP Catch Up","Return of capital and Pref NOT pro rata"))</f>
        <v>Pref prorata to LP/GP, then Pro rata return of capital</v>
      </c>
      <c r="K14" s="922"/>
      <c r="L14" s="922"/>
      <c r="M14" s="922"/>
      <c r="N14" s="922"/>
      <c r="O14" s="406"/>
      <c r="P14" s="406"/>
      <c r="Q14" s="404"/>
      <c r="R14" s="440"/>
      <c r="S14" s="404"/>
      <c r="T14" s="404"/>
      <c r="U14" s="404"/>
    </row>
    <row r="15" spans="1:21" ht="15" x14ac:dyDescent="0.2">
      <c r="B15" s="404" t="s">
        <v>689</v>
      </c>
      <c r="C15" s="441">
        <v>2</v>
      </c>
      <c r="D15" s="442">
        <v>7.0000000000000007E-2</v>
      </c>
      <c r="E15" s="443">
        <f t="shared" ref="E15:E16" si="0">IF($D$4="Equity Multiple",C16,D16)</f>
        <v>0.15</v>
      </c>
      <c r="F15" s="439">
        <v>0.4</v>
      </c>
      <c r="G15" s="444"/>
      <c r="H15" s="445">
        <f>1-(Equity_Share_LP*(1-F15))</f>
        <v>0.43000000000000005</v>
      </c>
      <c r="I15" s="421">
        <f t="shared" ref="I15:I17" si="1">1-H15</f>
        <v>0.56999999999999995</v>
      </c>
      <c r="J15" s="913" t="str">
        <f>IF(Equity_Share_Sponsor&lt;&gt;H14,TEXT(I14,"0.0%")&amp;"/"&amp;TEXT(H14,"0.0%")&amp;" to "&amp;(IF(D4="IRR",TEXT(E14,"0.0%"),TEXT(E14,"0.0X")))&amp;", then "&amp;TEXT(I15,"0.0%")&amp;"/"&amp;TEXT(H15,"0.0%")&amp;" to "&amp;(IF(D4="IRR",TEXT(E15,"0.0%"),TEXT(E15,"0.0X"))),"Prorata to LP/GP to "&amp;(IF(D4="IRR",TEXT(E14,"0.0%"),TEXT(E14,"0.0X")))&amp;", then "&amp;TEXT(I15,"0.0%")&amp;"/"&amp;TEXT(H15,"0.0%")&amp;" to "&amp;(IF(D4="IRR",TEXT(E15,"0.0%"),TEXT(E15,"0.0X"))))</f>
        <v>Prorata to LP/GP to 7.0%, then 57.0%/43.0% to 15.0%</v>
      </c>
      <c r="K15" s="914"/>
      <c r="L15" s="914"/>
      <c r="M15" s="914"/>
      <c r="N15" s="914"/>
      <c r="O15" s="406"/>
      <c r="P15" s="406"/>
      <c r="Q15" s="404"/>
      <c r="R15" s="404"/>
      <c r="S15" s="404"/>
      <c r="T15" s="404"/>
      <c r="U15" s="404"/>
    </row>
    <row r="16" spans="1:21" ht="15" x14ac:dyDescent="0.2">
      <c r="B16" s="404" t="s">
        <v>690</v>
      </c>
      <c r="C16" s="441">
        <v>2.5</v>
      </c>
      <c r="D16" s="442">
        <v>0.15</v>
      </c>
      <c r="E16" s="443">
        <f t="shared" si="0"/>
        <v>0.99</v>
      </c>
      <c r="F16" s="439">
        <v>0.5</v>
      </c>
      <c r="G16" s="444"/>
      <c r="H16" s="445">
        <f>1-(Equity_Share_LP*(1-F16))</f>
        <v>0.52500000000000002</v>
      </c>
      <c r="I16" s="421">
        <f t="shared" si="1"/>
        <v>0.47499999999999998</v>
      </c>
      <c r="J16" s="913" t="str">
        <f>TEXT(I15,"0.0%")&amp;"/"&amp;TEXT(H15,"0.0%")&amp;" to "&amp;(IF(D4="IRR",TEXT(E15,"0.0%"),TEXT(E15,"0.0X")))&amp;", then "&amp;TEXT(I16,"0.0%")&amp;"/"&amp;TEXT(H16,"0.0%")&amp;" to "&amp;(IF(D4="IRR",TEXT(E16,"0.0%"),TEXT(E16,"0.0X")))</f>
        <v>57.0%/43.0% to 15.0%, then 47.5%/52.5% to 99.0%</v>
      </c>
      <c r="K16" s="914"/>
      <c r="L16" s="914"/>
      <c r="M16" s="914"/>
      <c r="N16" s="914"/>
      <c r="O16" s="406"/>
      <c r="P16" s="406"/>
      <c r="Q16" s="404"/>
      <c r="R16" s="446"/>
      <c r="S16" s="404"/>
      <c r="T16" s="404"/>
      <c r="U16" s="404"/>
    </row>
    <row r="17" spans="2:21" ht="15" x14ac:dyDescent="0.2">
      <c r="B17" s="404" t="s">
        <v>691</v>
      </c>
      <c r="C17" s="441">
        <v>3</v>
      </c>
      <c r="D17" s="442">
        <v>0.99</v>
      </c>
      <c r="E17" s="443"/>
      <c r="F17" s="439">
        <v>0.5</v>
      </c>
      <c r="G17" s="444"/>
      <c r="H17" s="445">
        <f>1-(Equity_Share_LP*(1-F17))</f>
        <v>0.52500000000000002</v>
      </c>
      <c r="I17" s="421">
        <f t="shared" si="1"/>
        <v>0.47499999999999998</v>
      </c>
      <c r="J17" s="913" t="str">
        <f>TEXT(I16,"0.0%")&amp;"/"&amp;TEXT(H16,"0.0%")&amp;" to "&amp;(IF(D4="IRR",TEXT(E16,"0.0%"),TEXT(E16,"0.0X")))&amp;", then "&amp;TEXT(I17,"0.0%")&amp;"/"&amp;TEXT(H17,"0.0%")&amp;" thereafter"</f>
        <v>47.5%/52.5% to 99.0%, then 47.5%/52.5% thereafter</v>
      </c>
      <c r="K17" s="914"/>
      <c r="L17" s="914"/>
      <c r="M17" s="914"/>
      <c r="N17" s="914"/>
      <c r="O17" s="406"/>
      <c r="P17" s="406"/>
      <c r="Q17" s="404"/>
      <c r="R17" s="404"/>
      <c r="S17" s="404"/>
      <c r="T17" s="404"/>
      <c r="U17" s="404"/>
    </row>
    <row r="18" spans="2:21" ht="5" customHeight="1" x14ac:dyDescent="0.2">
      <c r="B18" s="404"/>
      <c r="C18" s="404"/>
      <c r="D18" s="447"/>
      <c r="E18" s="443"/>
      <c r="F18" s="417"/>
      <c r="G18" s="448"/>
      <c r="H18" s="449"/>
      <c r="I18" s="449"/>
      <c r="J18" s="406"/>
      <c r="K18" s="406"/>
      <c r="L18" s="406"/>
      <c r="M18" s="406"/>
      <c r="N18" s="406"/>
      <c r="O18" s="406"/>
      <c r="P18" s="406"/>
      <c r="Q18" s="404"/>
      <c r="R18" s="404"/>
      <c r="S18" s="404"/>
      <c r="T18" s="404"/>
      <c r="U18" s="404"/>
    </row>
    <row r="19" spans="2:21" ht="16" x14ac:dyDescent="0.2">
      <c r="B19" s="427" t="s">
        <v>692</v>
      </c>
      <c r="C19" s="428"/>
      <c r="D19" s="450"/>
      <c r="E19" s="451"/>
      <c r="F19" s="452">
        <v>0</v>
      </c>
      <c r="G19" s="452">
        <f ca="1">IF(G39="","",F19+1)</f>
        <v>1</v>
      </c>
      <c r="H19" s="452">
        <f t="shared" ref="H19:U19" ca="1" si="2">IF(H39="","",G19+1)</f>
        <v>2</v>
      </c>
      <c r="I19" s="452">
        <f t="shared" ca="1" si="2"/>
        <v>3</v>
      </c>
      <c r="J19" s="452">
        <f t="shared" ca="1" si="2"/>
        <v>4</v>
      </c>
      <c r="K19" s="452">
        <f t="shared" ca="1" si="2"/>
        <v>5</v>
      </c>
      <c r="L19" s="452">
        <f t="shared" ca="1" si="2"/>
        <v>6</v>
      </c>
      <c r="M19" s="452">
        <f t="shared" ca="1" si="2"/>
        <v>7</v>
      </c>
      <c r="N19" s="452">
        <f t="shared" ca="1" si="2"/>
        <v>8</v>
      </c>
      <c r="O19" s="452">
        <f t="shared" ca="1" si="2"/>
        <v>9</v>
      </c>
      <c r="P19" s="452">
        <f t="shared" ca="1" si="2"/>
        <v>10</v>
      </c>
      <c r="Q19" s="452" t="str">
        <f t="shared" si="2"/>
        <v/>
      </c>
      <c r="R19" s="452" t="str">
        <f t="shared" si="2"/>
        <v/>
      </c>
      <c r="S19" s="452" t="str">
        <f t="shared" si="2"/>
        <v/>
      </c>
      <c r="T19" s="452" t="str">
        <f t="shared" si="2"/>
        <v/>
      </c>
      <c r="U19" s="452" t="str">
        <f t="shared" si="2"/>
        <v/>
      </c>
    </row>
    <row r="20" spans="2:21" ht="15" x14ac:dyDescent="0.2">
      <c r="B20" s="453" t="s">
        <v>693</v>
      </c>
      <c r="C20" s="404"/>
      <c r="D20" s="447"/>
      <c r="E20" s="443"/>
      <c r="F20" s="454"/>
      <c r="G20" s="455"/>
      <c r="H20" s="456"/>
      <c r="I20" s="456"/>
      <c r="J20" s="405"/>
      <c r="K20" s="405"/>
      <c r="L20" s="405"/>
      <c r="M20" s="405"/>
      <c r="N20" s="405"/>
      <c r="O20" s="405"/>
      <c r="P20" s="405"/>
      <c r="Q20" s="405"/>
      <c r="R20" s="405"/>
      <c r="S20" s="405"/>
      <c r="T20" s="405"/>
      <c r="U20" s="405"/>
    </row>
    <row r="21" spans="2:21" ht="15" x14ac:dyDescent="0.2">
      <c r="B21" s="457" t="s">
        <v>694</v>
      </c>
      <c r="C21" s="404"/>
      <c r="D21" s="458">
        <f ca="1">SUM(F21:U21)</f>
        <v>6040466.4738881001</v>
      </c>
      <c r="E21" s="443"/>
      <c r="F21" s="411">
        <f t="shared" ref="F21:U21" si="3">IF(F19="","",F60+F82+F97+F104)</f>
        <v>0</v>
      </c>
      <c r="G21" s="411">
        <f t="shared" ca="1" si="3"/>
        <v>0</v>
      </c>
      <c r="H21" s="411">
        <f t="shared" ca="1" si="3"/>
        <v>72309.874996693979</v>
      </c>
      <c r="I21" s="411">
        <f t="shared" ca="1" si="3"/>
        <v>191477.32034869399</v>
      </c>
      <c r="J21" s="411">
        <f t="shared" ca="1" si="3"/>
        <v>316682.86055773392</v>
      </c>
      <c r="K21" s="411">
        <f t="shared" ca="1" si="3"/>
        <v>5133972.4258769797</v>
      </c>
      <c r="L21" s="411">
        <f t="shared" ca="1" si="3"/>
        <v>53463.479746615682</v>
      </c>
      <c r="M21" s="411">
        <f t="shared" ca="1" si="3"/>
        <v>71633.57743182464</v>
      </c>
      <c r="N21" s="411">
        <f t="shared" ca="1" si="3"/>
        <v>90582.99114866661</v>
      </c>
      <c r="O21" s="411">
        <f t="shared" ca="1" si="3"/>
        <v>110343.9437808918</v>
      </c>
      <c r="P21" s="411">
        <f t="shared" ca="1" si="3"/>
        <v>0</v>
      </c>
      <c r="Q21" s="411" t="str">
        <f t="shared" si="3"/>
        <v/>
      </c>
      <c r="R21" s="411" t="str">
        <f t="shared" si="3"/>
        <v/>
      </c>
      <c r="S21" s="411" t="str">
        <f t="shared" si="3"/>
        <v/>
      </c>
      <c r="T21" s="411" t="str">
        <f t="shared" si="3"/>
        <v/>
      </c>
      <c r="U21" s="411" t="str">
        <f t="shared" si="3"/>
        <v/>
      </c>
    </row>
    <row r="22" spans="2:21" ht="15" x14ac:dyDescent="0.2">
      <c r="B22" s="457" t="s">
        <v>695</v>
      </c>
      <c r="C22" s="404"/>
      <c r="D22" s="458">
        <f ca="1">SUM(F22:U22)</f>
        <v>4137170.4367842125</v>
      </c>
      <c r="E22" s="443"/>
      <c r="F22" s="411">
        <f t="shared" ref="F22:U22" si="4">F56</f>
        <v>3948199.8213999998</v>
      </c>
      <c r="G22" s="411">
        <f t="shared" ca="1" si="4"/>
        <v>31774.840103305971</v>
      </c>
      <c r="H22" s="411">
        <f t="shared" ca="1" si="4"/>
        <v>0</v>
      </c>
      <c r="I22" s="411">
        <f t="shared" ca="1" si="4"/>
        <v>0</v>
      </c>
      <c r="J22" s="411">
        <f t="shared" ca="1" si="4"/>
        <v>0</v>
      </c>
      <c r="K22" s="411">
        <f t="shared" ca="1" si="4"/>
        <v>0</v>
      </c>
      <c r="L22" s="411">
        <f t="shared" ca="1" si="4"/>
        <v>0</v>
      </c>
      <c r="M22" s="411">
        <f t="shared" ca="1" si="4"/>
        <v>0</v>
      </c>
      <c r="N22" s="411">
        <f t="shared" ca="1" si="4"/>
        <v>0</v>
      </c>
      <c r="O22" s="411">
        <f t="shared" ca="1" si="4"/>
        <v>0</v>
      </c>
      <c r="P22" s="411">
        <f t="shared" ca="1" si="4"/>
        <v>157195.77528090676</v>
      </c>
      <c r="Q22" s="411" t="str">
        <f t="shared" si="4"/>
        <v/>
      </c>
      <c r="R22" s="411" t="str">
        <f t="shared" si="4"/>
        <v/>
      </c>
      <c r="S22" s="411" t="str">
        <f t="shared" si="4"/>
        <v/>
      </c>
      <c r="T22" s="411" t="str">
        <f t="shared" si="4"/>
        <v/>
      </c>
      <c r="U22" s="411" t="str">
        <f t="shared" si="4"/>
        <v/>
      </c>
    </row>
    <row r="23" spans="2:21" ht="15" x14ac:dyDescent="0.2">
      <c r="B23" s="457" t="s">
        <v>696</v>
      </c>
      <c r="C23" s="404"/>
      <c r="D23" s="458">
        <f ca="1">D21-D22</f>
        <v>1903296.0371038876</v>
      </c>
      <c r="E23" s="443"/>
      <c r="F23" s="454"/>
      <c r="G23" s="455"/>
      <c r="H23" s="456"/>
      <c r="I23" s="456"/>
      <c r="J23" s="405"/>
      <c r="K23" s="405"/>
      <c r="L23" s="405"/>
      <c r="M23" s="405"/>
      <c r="N23" s="405"/>
      <c r="O23" s="405"/>
      <c r="P23" s="405"/>
      <c r="Q23" s="405"/>
      <c r="R23" s="405"/>
      <c r="S23" s="405"/>
      <c r="T23" s="405"/>
      <c r="U23" s="405"/>
    </row>
    <row r="24" spans="2:21" ht="15" x14ac:dyDescent="0.2">
      <c r="B24" s="457" t="s">
        <v>697</v>
      </c>
      <c r="C24" s="404"/>
      <c r="D24" s="459">
        <f ca="1">IRR(F24:U24)</f>
        <v>8.3900097208777114E-2</v>
      </c>
      <c r="E24" s="443"/>
      <c r="F24" s="411">
        <f t="shared" ref="F24:U24" si="5">IF(F19="","",(-F22)+F21)</f>
        <v>-3948199.8213999998</v>
      </c>
      <c r="G24" s="411">
        <f t="shared" ca="1" si="5"/>
        <v>-31774.840103305971</v>
      </c>
      <c r="H24" s="411">
        <f t="shared" ca="1" si="5"/>
        <v>72309.874996693979</v>
      </c>
      <c r="I24" s="411">
        <f t="shared" ca="1" si="5"/>
        <v>191477.32034869399</v>
      </c>
      <c r="J24" s="411">
        <f t="shared" ca="1" si="5"/>
        <v>316682.86055773392</v>
      </c>
      <c r="K24" s="411">
        <f t="shared" ca="1" si="5"/>
        <v>5133972.4258769797</v>
      </c>
      <c r="L24" s="411">
        <f t="shared" ca="1" si="5"/>
        <v>53463.479746615682</v>
      </c>
      <c r="M24" s="411">
        <f t="shared" ca="1" si="5"/>
        <v>71633.57743182464</v>
      </c>
      <c r="N24" s="411">
        <f t="shared" ca="1" si="5"/>
        <v>90582.99114866661</v>
      </c>
      <c r="O24" s="411">
        <f t="shared" ca="1" si="5"/>
        <v>110343.9437808918</v>
      </c>
      <c r="P24" s="411">
        <f t="shared" ca="1" si="5"/>
        <v>-157195.77528090676</v>
      </c>
      <c r="Q24" s="411" t="str">
        <f t="shared" si="5"/>
        <v/>
      </c>
      <c r="R24" s="411" t="str">
        <f t="shared" si="5"/>
        <v/>
      </c>
      <c r="S24" s="411" t="str">
        <f t="shared" si="5"/>
        <v/>
      </c>
      <c r="T24" s="411" t="str">
        <f t="shared" si="5"/>
        <v/>
      </c>
      <c r="U24" s="411" t="str">
        <f t="shared" si="5"/>
        <v/>
      </c>
    </row>
    <row r="25" spans="2:21" ht="15" x14ac:dyDescent="0.2">
      <c r="B25" s="457" t="s">
        <v>698</v>
      </c>
      <c r="C25" s="404"/>
      <c r="D25" s="460">
        <f ca="1">D21/D22</f>
        <v>1.4600477708584092</v>
      </c>
      <c r="E25" s="443"/>
      <c r="F25" s="454"/>
      <c r="G25" s="455"/>
      <c r="H25" s="456"/>
      <c r="I25" s="456"/>
      <c r="J25" s="405"/>
      <c r="K25" s="405"/>
      <c r="L25" s="405"/>
      <c r="M25" s="405"/>
      <c r="N25" s="405"/>
      <c r="O25" s="405"/>
      <c r="P25" s="405"/>
      <c r="Q25" s="405"/>
      <c r="R25" s="405"/>
      <c r="S25" s="405"/>
      <c r="T25" s="405"/>
      <c r="U25" s="405"/>
    </row>
    <row r="26" spans="2:21" ht="5" customHeight="1" x14ac:dyDescent="0.2">
      <c r="B26" s="457"/>
      <c r="C26" s="404"/>
      <c r="D26" s="447"/>
      <c r="E26" s="443"/>
      <c r="F26" s="454"/>
      <c r="G26" s="455"/>
      <c r="H26" s="456"/>
      <c r="I26" s="456"/>
      <c r="J26" s="405"/>
      <c r="K26" s="405"/>
      <c r="L26" s="405"/>
      <c r="M26" s="405"/>
      <c r="N26" s="405"/>
      <c r="O26" s="405"/>
      <c r="P26" s="405"/>
      <c r="Q26" s="405"/>
      <c r="R26" s="405"/>
      <c r="S26" s="405"/>
      <c r="T26" s="405"/>
      <c r="U26" s="405"/>
    </row>
    <row r="27" spans="2:21" ht="15" x14ac:dyDescent="0.2">
      <c r="B27" s="453" t="s">
        <v>699</v>
      </c>
      <c r="C27" s="404"/>
      <c r="D27" s="447"/>
      <c r="E27" s="443"/>
      <c r="F27" s="454"/>
      <c r="G27" s="455"/>
      <c r="H27" s="456"/>
      <c r="I27" s="456"/>
      <c r="J27" s="405"/>
      <c r="K27" s="405"/>
      <c r="L27" s="405"/>
      <c r="M27" s="405"/>
      <c r="N27" s="405"/>
      <c r="O27" s="405"/>
      <c r="P27" s="405"/>
      <c r="Q27" s="405"/>
      <c r="R27" s="405"/>
      <c r="S27" s="405"/>
      <c r="T27" s="405"/>
      <c r="U27" s="405"/>
    </row>
    <row r="28" spans="2:21" s="466" customFormat="1" ht="15" x14ac:dyDescent="0.2">
      <c r="B28" s="461" t="s">
        <v>700</v>
      </c>
      <c r="C28" s="462"/>
      <c r="D28" s="463">
        <f ca="1">SUM(F28:U28)</f>
        <v>688057.77425007266</v>
      </c>
      <c r="E28" s="464"/>
      <c r="F28" s="465">
        <f t="shared" ref="F28:U28" si="6">IF(F19="","",F65+F83+F98+F105)</f>
        <v>0</v>
      </c>
      <c r="G28" s="465">
        <f t="shared" ca="1" si="6"/>
        <v>0</v>
      </c>
      <c r="H28" s="465">
        <f t="shared" ca="1" si="6"/>
        <v>3805.7828945628412</v>
      </c>
      <c r="I28" s="465">
        <f t="shared" ca="1" si="6"/>
        <v>10077.753702562843</v>
      </c>
      <c r="J28" s="465">
        <f t="shared" ca="1" si="6"/>
        <v>16667.51897672284</v>
      </c>
      <c r="K28" s="465">
        <f t="shared" ca="1" si="6"/>
        <v>411558.79480527766</v>
      </c>
      <c r="L28" s="465">
        <f t="shared" ca="1" si="6"/>
        <v>40332.09875621886</v>
      </c>
      <c r="M28" s="465">
        <f t="shared" ca="1" si="6"/>
        <v>54039.365431025617</v>
      </c>
      <c r="N28" s="465">
        <f t="shared" ca="1" si="6"/>
        <v>68334.537182327462</v>
      </c>
      <c r="O28" s="465">
        <f t="shared" ca="1" si="6"/>
        <v>83241.922501374531</v>
      </c>
      <c r="P28" s="465">
        <f t="shared" ca="1" si="6"/>
        <v>0</v>
      </c>
      <c r="Q28" s="465" t="str">
        <f t="shared" si="6"/>
        <v/>
      </c>
      <c r="R28" s="465" t="str">
        <f t="shared" si="6"/>
        <v/>
      </c>
      <c r="S28" s="465" t="str">
        <f t="shared" si="6"/>
        <v/>
      </c>
      <c r="T28" s="465" t="str">
        <f t="shared" si="6"/>
        <v/>
      </c>
      <c r="U28" s="465" t="str">
        <f t="shared" si="6"/>
        <v/>
      </c>
    </row>
    <row r="29" spans="2:21" ht="15" x14ac:dyDescent="0.2">
      <c r="B29" s="457" t="s">
        <v>701</v>
      </c>
      <c r="C29" s="404"/>
      <c r="D29" s="458"/>
      <c r="E29" s="443"/>
      <c r="F29" s="411"/>
      <c r="G29" s="411">
        <f t="shared" ref="G29:U29" ca="1" si="7">IF(ISERROR((+G21/Equity_Share_LP*Equity_Share_Sponsor)),"-",(+G21/Equity_Share_LP*Equity_Share_Sponsor))</f>
        <v>0</v>
      </c>
      <c r="H29" s="411">
        <f t="shared" ca="1" si="7"/>
        <v>3805.7828945628412</v>
      </c>
      <c r="I29" s="411">
        <f t="shared" ca="1" si="7"/>
        <v>10077.753702562843</v>
      </c>
      <c r="J29" s="411">
        <f t="shared" ca="1" si="7"/>
        <v>16667.51897672284</v>
      </c>
      <c r="K29" s="411">
        <f t="shared" ca="1" si="7"/>
        <v>270209.07504615688</v>
      </c>
      <c r="L29" s="411">
        <f t="shared" ca="1" si="7"/>
        <v>2813.8673550850363</v>
      </c>
      <c r="M29" s="411">
        <f t="shared" ca="1" si="7"/>
        <v>3770.1882858855079</v>
      </c>
      <c r="N29" s="411">
        <f t="shared" ca="1" si="7"/>
        <v>4767.5258499298216</v>
      </c>
      <c r="O29" s="411">
        <f t="shared" ca="1" si="7"/>
        <v>5807.5759884679901</v>
      </c>
      <c r="P29" s="411">
        <f t="shared" ca="1" si="7"/>
        <v>0</v>
      </c>
      <c r="Q29" s="411" t="str">
        <f t="shared" si="7"/>
        <v>-</v>
      </c>
      <c r="R29" s="411" t="str">
        <f t="shared" si="7"/>
        <v>-</v>
      </c>
      <c r="S29" s="411" t="str">
        <f t="shared" si="7"/>
        <v>-</v>
      </c>
      <c r="T29" s="411" t="str">
        <f t="shared" si="7"/>
        <v>-</v>
      </c>
      <c r="U29" s="411" t="str">
        <f t="shared" si="7"/>
        <v>-</v>
      </c>
    </row>
    <row r="30" spans="2:21" ht="15" x14ac:dyDescent="0.2">
      <c r="B30" s="457" t="s">
        <v>702</v>
      </c>
      <c r="C30" s="404"/>
      <c r="D30" s="458"/>
      <c r="E30" s="443"/>
      <c r="F30" s="411"/>
      <c r="G30" s="411">
        <f ca="1">IF(ISERROR((+G28-G29)),"-",(+G28-G29))</f>
        <v>0</v>
      </c>
      <c r="H30" s="411">
        <f t="shared" ref="H30:U30" ca="1" si="8">IF(ISERROR((+H28-H29)),"-",(+H28-H29))</f>
        <v>0</v>
      </c>
      <c r="I30" s="411">
        <f t="shared" ca="1" si="8"/>
        <v>0</v>
      </c>
      <c r="J30" s="411">
        <f t="shared" ca="1" si="8"/>
        <v>0</v>
      </c>
      <c r="K30" s="411">
        <f t="shared" ca="1" si="8"/>
        <v>141349.71975912078</v>
      </c>
      <c r="L30" s="411">
        <f t="shared" ca="1" si="8"/>
        <v>37518.231401133824</v>
      </c>
      <c r="M30" s="411">
        <f t="shared" ca="1" si="8"/>
        <v>50269.177145140107</v>
      </c>
      <c r="N30" s="411">
        <f t="shared" ca="1" si="8"/>
        <v>63567.01133239764</v>
      </c>
      <c r="O30" s="411">
        <f t="shared" ca="1" si="8"/>
        <v>77434.346512906544</v>
      </c>
      <c r="P30" s="411">
        <f t="shared" ca="1" si="8"/>
        <v>0</v>
      </c>
      <c r="Q30" s="411" t="str">
        <f t="shared" si="8"/>
        <v>-</v>
      </c>
      <c r="R30" s="411" t="str">
        <f t="shared" si="8"/>
        <v>-</v>
      </c>
      <c r="S30" s="411" t="str">
        <f t="shared" si="8"/>
        <v>-</v>
      </c>
      <c r="T30" s="411" t="str">
        <f t="shared" si="8"/>
        <v>-</v>
      </c>
      <c r="U30" s="411" t="str">
        <f t="shared" si="8"/>
        <v>-</v>
      </c>
    </row>
    <row r="31" spans="2:21" ht="15" x14ac:dyDescent="0.2">
      <c r="B31" s="457" t="s">
        <v>703</v>
      </c>
      <c r="C31" s="404"/>
      <c r="D31" s="458">
        <f ca="1">SUM(F31:U31)</f>
        <v>739675.82657004194</v>
      </c>
      <c r="E31" s="443"/>
      <c r="F31" s="411">
        <f>IF(F19="","",SUM(F40:F42))</f>
        <v>200000</v>
      </c>
      <c r="G31" s="411">
        <f t="shared" ref="G31:U31" ca="1" si="9">IF(G19="","",SUM(G40:G42))</f>
        <v>39099.998119999997</v>
      </c>
      <c r="H31" s="411">
        <f t="shared" ca="1" si="9"/>
        <v>39099.998119999997</v>
      </c>
      <c r="I31" s="411">
        <f t="shared" ca="1" si="9"/>
        <v>39099.998119999997</v>
      </c>
      <c r="J31" s="411">
        <f t="shared" ca="1" si="9"/>
        <v>39099.998119999997</v>
      </c>
      <c r="K31" s="411">
        <f t="shared" ca="1" si="9"/>
        <v>39099.998119999997</v>
      </c>
      <c r="L31" s="411">
        <f t="shared" ca="1" si="9"/>
        <v>39099.998119999997</v>
      </c>
      <c r="M31" s="411">
        <f t="shared" ca="1" si="9"/>
        <v>39099.998119999997</v>
      </c>
      <c r="N31" s="411">
        <f t="shared" ca="1" si="9"/>
        <v>39099.998119999997</v>
      </c>
      <c r="O31" s="411">
        <f t="shared" ca="1" si="9"/>
        <v>39099.998119999997</v>
      </c>
      <c r="P31" s="411">
        <f t="shared" ca="1" si="9"/>
        <v>187775.84349004185</v>
      </c>
      <c r="Q31" s="411" t="str">
        <f t="shared" si="9"/>
        <v/>
      </c>
      <c r="R31" s="411" t="str">
        <f t="shared" si="9"/>
        <v/>
      </c>
      <c r="S31" s="411" t="str">
        <f t="shared" si="9"/>
        <v/>
      </c>
      <c r="T31" s="411" t="str">
        <f t="shared" si="9"/>
        <v/>
      </c>
      <c r="U31" s="411" t="str">
        <f t="shared" si="9"/>
        <v/>
      </c>
    </row>
    <row r="32" spans="2:21" ht="15" x14ac:dyDescent="0.2">
      <c r="B32" s="457" t="s">
        <v>704</v>
      </c>
      <c r="C32" s="404"/>
      <c r="D32" s="458">
        <f ca="1">SUM(F32:U32)</f>
        <v>217745.81246232713</v>
      </c>
      <c r="E32" s="443"/>
      <c r="F32" s="411">
        <f t="shared" ref="F32:U32" si="10">IF(F19="","",-(MIN(F47,0)+F56))</f>
        <v>207799.99060000014</v>
      </c>
      <c r="G32" s="411">
        <f t="shared" ca="1" si="10"/>
        <v>1672.3600054371564</v>
      </c>
      <c r="H32" s="411">
        <f t="shared" ca="1" si="10"/>
        <v>0</v>
      </c>
      <c r="I32" s="411">
        <f t="shared" ca="1" si="10"/>
        <v>0</v>
      </c>
      <c r="J32" s="411">
        <f t="shared" ca="1" si="10"/>
        <v>0</v>
      </c>
      <c r="K32" s="411">
        <f t="shared" ca="1" si="10"/>
        <v>0</v>
      </c>
      <c r="L32" s="411">
        <f t="shared" ca="1" si="10"/>
        <v>0</v>
      </c>
      <c r="M32" s="411">
        <f t="shared" ca="1" si="10"/>
        <v>0</v>
      </c>
      <c r="N32" s="411">
        <f t="shared" ca="1" si="10"/>
        <v>0</v>
      </c>
      <c r="O32" s="411">
        <f t="shared" ca="1" si="10"/>
        <v>0</v>
      </c>
      <c r="P32" s="411">
        <f t="shared" ca="1" si="10"/>
        <v>8273.4618568898295</v>
      </c>
      <c r="Q32" s="411" t="str">
        <f t="shared" si="10"/>
        <v/>
      </c>
      <c r="R32" s="411" t="str">
        <f t="shared" si="10"/>
        <v/>
      </c>
      <c r="S32" s="411" t="str">
        <f t="shared" si="10"/>
        <v/>
      </c>
      <c r="T32" s="411" t="str">
        <f t="shared" si="10"/>
        <v/>
      </c>
      <c r="U32" s="411" t="str">
        <f t="shared" si="10"/>
        <v/>
      </c>
    </row>
    <row r="33" spans="2:25" ht="15" x14ac:dyDescent="0.2">
      <c r="B33" s="457" t="s">
        <v>705</v>
      </c>
      <c r="C33" s="404"/>
      <c r="D33" s="458">
        <f ca="1">+D28+D31-D32</f>
        <v>1209987.7883577875</v>
      </c>
      <c r="E33" s="443"/>
      <c r="F33" s="454"/>
      <c r="G33" s="455"/>
      <c r="H33" s="456"/>
      <c r="I33" s="456"/>
      <c r="J33" s="405"/>
      <c r="K33" s="405"/>
      <c r="L33" s="405"/>
      <c r="M33" s="405"/>
      <c r="N33" s="405"/>
      <c r="O33" s="405"/>
      <c r="P33" s="405"/>
      <c r="Q33" s="405"/>
      <c r="R33" s="405"/>
      <c r="S33" s="405"/>
      <c r="T33" s="405"/>
      <c r="U33" s="405"/>
    </row>
    <row r="34" spans="2:25" ht="15" x14ac:dyDescent="0.2">
      <c r="B34" s="457" t="s">
        <v>706</v>
      </c>
      <c r="C34" s="404"/>
      <c r="D34" s="459">
        <f ca="1">IRR(F34:U34)</f>
        <v>4.9759218596011365</v>
      </c>
      <c r="E34" s="443"/>
      <c r="F34" s="411">
        <f>IF(F19="","",(-F32)+F28+F31)</f>
        <v>-7799.9906000001356</v>
      </c>
      <c r="G34" s="411">
        <f t="shared" ref="G34:U34" ca="1" si="11">IF(G19="","",(-G32)+G28+G31)</f>
        <v>37427.63811456284</v>
      </c>
      <c r="H34" s="411">
        <f t="shared" ca="1" si="11"/>
        <v>42905.781014562839</v>
      </c>
      <c r="I34" s="411">
        <f t="shared" ca="1" si="11"/>
        <v>49177.751822562837</v>
      </c>
      <c r="J34" s="411">
        <f t="shared" ca="1" si="11"/>
        <v>55767.517096722833</v>
      </c>
      <c r="K34" s="411">
        <f t="shared" ca="1" si="11"/>
        <v>450658.79292527767</v>
      </c>
      <c r="L34" s="411">
        <f t="shared" ca="1" si="11"/>
        <v>79432.096876218857</v>
      </c>
      <c r="M34" s="411">
        <f t="shared" ca="1" si="11"/>
        <v>93139.363551025614</v>
      </c>
      <c r="N34" s="411">
        <f t="shared" ca="1" si="11"/>
        <v>107434.53530232745</v>
      </c>
      <c r="O34" s="411">
        <f t="shared" ca="1" si="11"/>
        <v>122341.92062137453</v>
      </c>
      <c r="P34" s="411">
        <f t="shared" ca="1" si="11"/>
        <v>179502.38163315202</v>
      </c>
      <c r="Q34" s="411" t="str">
        <f t="shared" si="11"/>
        <v/>
      </c>
      <c r="R34" s="411" t="str">
        <f t="shared" si="11"/>
        <v/>
      </c>
      <c r="S34" s="411" t="str">
        <f t="shared" si="11"/>
        <v/>
      </c>
      <c r="T34" s="411" t="str">
        <f t="shared" si="11"/>
        <v/>
      </c>
      <c r="U34" s="411" t="str">
        <f t="shared" si="11"/>
        <v/>
      </c>
    </row>
    <row r="35" spans="2:25" ht="15" x14ac:dyDescent="0.2">
      <c r="B35" s="457" t="s">
        <v>707</v>
      </c>
      <c r="C35" s="404"/>
      <c r="D35" s="460">
        <f ca="1">D28/D32</f>
        <v>3.1599127738409005</v>
      </c>
      <c r="E35" s="443"/>
      <c r="F35" s="454"/>
      <c r="G35" s="455"/>
      <c r="H35" s="456"/>
      <c r="I35" s="456"/>
      <c r="J35" s="405"/>
      <c r="K35" s="405"/>
      <c r="L35" s="405"/>
      <c r="M35" s="405"/>
      <c r="N35" s="405"/>
      <c r="O35" s="405"/>
      <c r="P35" s="405"/>
      <c r="Q35" s="405"/>
      <c r="R35" s="405"/>
      <c r="S35" s="405"/>
      <c r="T35" s="405"/>
      <c r="U35" s="405"/>
    </row>
    <row r="36" spans="2:25" ht="5" customHeight="1" x14ac:dyDescent="0.2">
      <c r="B36" s="467"/>
      <c r="C36" s="468"/>
      <c r="D36" s="469"/>
      <c r="E36" s="404"/>
      <c r="F36" s="405"/>
      <c r="G36" s="405"/>
      <c r="H36" s="405"/>
      <c r="I36" s="405"/>
      <c r="J36" s="405"/>
      <c r="K36" s="405"/>
      <c r="L36" s="405"/>
      <c r="M36" s="405"/>
      <c r="N36" s="405"/>
      <c r="O36" s="405"/>
      <c r="P36" s="405"/>
      <c r="Q36" s="405"/>
      <c r="R36" s="405"/>
      <c r="S36" s="405"/>
      <c r="T36" s="405"/>
      <c r="U36" s="405"/>
    </row>
    <row r="37" spans="2:25" ht="16" x14ac:dyDescent="0.2">
      <c r="B37" s="427" t="s">
        <v>708</v>
      </c>
      <c r="C37" s="428"/>
      <c r="D37" s="428"/>
      <c r="E37" s="433"/>
      <c r="F37" s="452">
        <v>0</v>
      </c>
      <c r="G37" s="452">
        <f t="shared" ref="G37:U37" si="12">IF(F37&gt;=$G$4,"",F37+1)</f>
        <v>1</v>
      </c>
      <c r="H37" s="452">
        <f t="shared" si="12"/>
        <v>2</v>
      </c>
      <c r="I37" s="452">
        <f t="shared" si="12"/>
        <v>3</v>
      </c>
      <c r="J37" s="452">
        <f t="shared" si="12"/>
        <v>4</v>
      </c>
      <c r="K37" s="452">
        <f t="shared" si="12"/>
        <v>5</v>
      </c>
      <c r="L37" s="452">
        <f t="shared" si="12"/>
        <v>6</v>
      </c>
      <c r="M37" s="452">
        <f t="shared" si="12"/>
        <v>7</v>
      </c>
      <c r="N37" s="452">
        <f t="shared" si="12"/>
        <v>8</v>
      </c>
      <c r="O37" s="452">
        <f t="shared" si="12"/>
        <v>9</v>
      </c>
      <c r="P37" s="452">
        <f t="shared" si="12"/>
        <v>10</v>
      </c>
      <c r="Q37" s="452" t="str">
        <f t="shared" si="12"/>
        <v/>
      </c>
      <c r="R37" s="452" t="str">
        <f t="shared" si="12"/>
        <v/>
      </c>
      <c r="S37" s="452" t="str">
        <f t="shared" si="12"/>
        <v/>
      </c>
      <c r="T37" s="452" t="str">
        <f t="shared" si="12"/>
        <v/>
      </c>
      <c r="U37" s="452" t="str">
        <f t="shared" si="12"/>
        <v/>
      </c>
      <c r="V37" s="470"/>
      <c r="W37" s="470"/>
      <c r="X37" s="470"/>
      <c r="Y37" s="470"/>
    </row>
    <row r="38" spans="2:25" ht="15" x14ac:dyDescent="0.2">
      <c r="B38" s="404"/>
      <c r="C38" s="404"/>
      <c r="D38" s="404"/>
      <c r="E38" s="412" t="s">
        <v>709</v>
      </c>
      <c r="F38" s="471">
        <f>EOMONTH(TODAY(),0)</f>
        <v>44043</v>
      </c>
      <c r="G38" s="472">
        <f>IF(G37="","",EOMONTH(F38,12))</f>
        <v>44408</v>
      </c>
      <c r="H38" s="472">
        <f t="shared" ref="H38:U38" si="13">IF(H37="","",EOMONTH(G38,12))</f>
        <v>44773</v>
      </c>
      <c r="I38" s="472">
        <f t="shared" si="13"/>
        <v>45138</v>
      </c>
      <c r="J38" s="472">
        <f t="shared" si="13"/>
        <v>45504</v>
      </c>
      <c r="K38" s="472">
        <f t="shared" si="13"/>
        <v>45869</v>
      </c>
      <c r="L38" s="472">
        <f t="shared" si="13"/>
        <v>46234</v>
      </c>
      <c r="M38" s="472">
        <f t="shared" si="13"/>
        <v>46599</v>
      </c>
      <c r="N38" s="472">
        <f t="shared" si="13"/>
        <v>46965</v>
      </c>
      <c r="O38" s="472">
        <f t="shared" si="13"/>
        <v>47330</v>
      </c>
      <c r="P38" s="472">
        <f t="shared" si="13"/>
        <v>47695</v>
      </c>
      <c r="Q38" s="472" t="str">
        <f t="shared" si="13"/>
        <v/>
      </c>
      <c r="R38" s="472" t="str">
        <f t="shared" si="13"/>
        <v/>
      </c>
      <c r="S38" s="472" t="str">
        <f t="shared" si="13"/>
        <v/>
      </c>
      <c r="T38" s="472" t="str">
        <f t="shared" si="13"/>
        <v/>
      </c>
      <c r="U38" s="472" t="str">
        <f t="shared" si="13"/>
        <v/>
      </c>
      <c r="V38" s="470"/>
      <c r="W38" s="470"/>
      <c r="X38" s="470"/>
      <c r="Y38" s="470"/>
    </row>
    <row r="39" spans="2:25" ht="15" x14ac:dyDescent="0.2">
      <c r="B39" s="473" t="s">
        <v>710</v>
      </c>
      <c r="C39" s="404"/>
      <c r="D39" s="404"/>
      <c r="E39" s="440"/>
      <c r="F39" s="474">
        <f>Proforma!E117</f>
        <v>-3909999.8119999999</v>
      </c>
      <c r="G39" s="474">
        <f ca="1">IF(G37="","",IF(G37=$G$4,Proforma!F117+Proforma!F106-Proforma!F101,Proforma!F117))</f>
        <v>10652.798011256869</v>
      </c>
      <c r="H39" s="474">
        <f ca="1">IF(H37="","",IF(H37=$G$4,Proforma!G117+Proforma!G106-Proforma!G101,Proforma!G117))</f>
        <v>120215.65601125683</v>
      </c>
      <c r="I39" s="474">
        <f ca="1">IF(I37="","",IF(I37=$G$4,Proforma!H117+Proforma!H106-Proforma!H101,Proforma!H117))</f>
        <v>245655.07217125685</v>
      </c>
      <c r="J39" s="474">
        <f ca="1">IF(J37="","",IF(J37=$G$4,Proforma!I117+Proforma!I106-Proforma!I101,Proforma!I117))</f>
        <v>377450.37765445677</v>
      </c>
      <c r="K39" s="474">
        <f ca="1">IF(K37="","",IF(K37=$G$4,Proforma!J117+Proforma!J106-Proforma!J101,Proforma!J117))</f>
        <v>5589631.2188022574</v>
      </c>
      <c r="L39" s="474">
        <f ca="1">IF(L37="","",IF(L37=$G$4,Proforma!K117+Proforma!K106-Proforma!K101,Proforma!K117))</f>
        <v>137895.57662283455</v>
      </c>
      <c r="M39" s="474">
        <f ca="1">IF(M37="","",IF(M37=$G$4,Proforma!L117+Proforma!L106-Proforma!L101,Proforma!L117))</f>
        <v>169772.94098285027</v>
      </c>
      <c r="N39" s="474">
        <f ca="1">IF(N37="","",IF(N37=$G$4,Proforma!M117+Proforma!M106-Proforma!M101,Proforma!M117))</f>
        <v>203017.52645099408</v>
      </c>
      <c r="O39" s="474">
        <f ca="1">IF(O37="","",IF(O37=$G$4,Proforma!N117+Proforma!N106-Proforma!N101,Proforma!N117))</f>
        <v>237685.86440226634</v>
      </c>
      <c r="P39" s="474">
        <f ca="1">IF(P37="","",IF(P37=$G$4,Proforma!O117+Proforma!O106-Proforma!O101,Proforma!O117))</f>
        <v>547672.06514739164</v>
      </c>
      <c r="Q39" s="474" t="str">
        <f>IF(Q37="","",IF(Q37=$G$4,Proforma!P117+Proforma!P106-Proforma!P101,Proforma!P117))</f>
        <v/>
      </c>
      <c r="R39" s="474" t="str">
        <f>IF(R37="","",IF(R37=$G$4,Proforma!Q117+Proforma!Q106-Proforma!Q101,Proforma!Q117))</f>
        <v/>
      </c>
      <c r="S39" s="474" t="str">
        <f>IF(S37="","",IF(S37=$G$4,Proforma!R117+Proforma!R106-Proforma!R101,Proforma!R117))</f>
        <v/>
      </c>
      <c r="T39" s="474" t="str">
        <f>IF(T37="","",IF(T37=$G$4,Proforma!S117+Proforma!S106-Proforma!S101,Proforma!S117))</f>
        <v/>
      </c>
      <c r="U39" s="474" t="str">
        <f>IF(U37="","",IF(U37=$G$4,Proforma!T117+Proforma!T106-Proforma!T101,Proforma!T117))</f>
        <v/>
      </c>
    </row>
    <row r="40" spans="2:25" ht="15" x14ac:dyDescent="0.2">
      <c r="B40" s="457" t="s">
        <v>711</v>
      </c>
      <c r="C40" s="475">
        <v>0.01</v>
      </c>
      <c r="D40" s="404"/>
      <c r="E40" s="440"/>
      <c r="F40" s="474">
        <v>0</v>
      </c>
      <c r="G40" s="474">
        <f ca="1">IF(G39="","",$C$40*(-Proforma!$E$117))</f>
        <v>39099.998119999997</v>
      </c>
      <c r="H40" s="474">
        <f ca="1">IF(H39="","",$C$40*(-Proforma!$E$117))</f>
        <v>39099.998119999997</v>
      </c>
      <c r="I40" s="474">
        <f ca="1">IF(I39="","",$C$40*(-Proforma!$E$117))</f>
        <v>39099.998119999997</v>
      </c>
      <c r="J40" s="474">
        <f ca="1">IF(J39="","",$C$40*(-Proforma!$E$117))</f>
        <v>39099.998119999997</v>
      </c>
      <c r="K40" s="474">
        <f ca="1">IF(K39="","",$C$40*(-Proforma!$E$117))</f>
        <v>39099.998119999997</v>
      </c>
      <c r="L40" s="474">
        <f ca="1">IF(L39="","",$C$40*(-Proforma!$E$117))</f>
        <v>39099.998119999997</v>
      </c>
      <c r="M40" s="474">
        <f ca="1">IF(M39="","",$C$40*(-Proforma!$E$117))</f>
        <v>39099.998119999997</v>
      </c>
      <c r="N40" s="474">
        <f ca="1">IF(N39="","",$C$40*(-Proforma!$E$117))</f>
        <v>39099.998119999997</v>
      </c>
      <c r="O40" s="474">
        <f ca="1">IF(O39="","",$C$40*(-Proforma!$E$117))</f>
        <v>39099.998119999997</v>
      </c>
      <c r="P40" s="474">
        <f ca="1">IF(P39="","",$C$40*(-Proforma!$E$117))</f>
        <v>39099.998119999997</v>
      </c>
      <c r="Q40" s="474" t="str">
        <f>IF(Q39="","",$C$40*(-Proforma!$E$117))</f>
        <v/>
      </c>
      <c r="R40" s="474" t="str">
        <f>IF(R39="","",$C$40*(-Proforma!$E$117))</f>
        <v/>
      </c>
      <c r="S40" s="474" t="str">
        <f>IF(S39="","",$C$40*(-Proforma!$E$117))</f>
        <v/>
      </c>
      <c r="T40" s="474" t="str">
        <f>IF(T39="","",$C$40*(-Proforma!$E$117))</f>
        <v/>
      </c>
      <c r="U40" s="474" t="str">
        <f>IF(U39="","",$C$40*(-Proforma!$E$117))</f>
        <v/>
      </c>
    </row>
    <row r="41" spans="2:25" ht="15" x14ac:dyDescent="0.2">
      <c r="B41" s="457" t="s">
        <v>712</v>
      </c>
      <c r="C41" s="476">
        <v>0.01</v>
      </c>
      <c r="D41" s="404"/>
      <c r="E41" s="440"/>
      <c r="F41" s="474">
        <v>200000</v>
      </c>
      <c r="G41" s="474">
        <f ca="1">IF(G39="","",0)</f>
        <v>0</v>
      </c>
      <c r="H41" s="474">
        <f t="shared" ref="H41:U41" ca="1" si="14">IF(H39="","",0)</f>
        <v>0</v>
      </c>
      <c r="I41" s="474">
        <f t="shared" ca="1" si="14"/>
        <v>0</v>
      </c>
      <c r="J41" s="474">
        <f t="shared" ca="1" si="14"/>
        <v>0</v>
      </c>
      <c r="K41" s="474">
        <f t="shared" ca="1" si="14"/>
        <v>0</v>
      </c>
      <c r="L41" s="474">
        <f t="shared" ca="1" si="14"/>
        <v>0</v>
      </c>
      <c r="M41" s="474">
        <f t="shared" ca="1" si="14"/>
        <v>0</v>
      </c>
      <c r="N41" s="474">
        <f t="shared" ca="1" si="14"/>
        <v>0</v>
      </c>
      <c r="O41" s="474">
        <f t="shared" ca="1" si="14"/>
        <v>0</v>
      </c>
      <c r="P41" s="474">
        <f t="shared" ca="1" si="14"/>
        <v>0</v>
      </c>
      <c r="Q41" s="474" t="str">
        <f t="shared" si="14"/>
        <v/>
      </c>
      <c r="R41" s="474" t="str">
        <f t="shared" si="14"/>
        <v/>
      </c>
      <c r="S41" s="474" t="str">
        <f t="shared" si="14"/>
        <v/>
      </c>
      <c r="T41" s="474" t="str">
        <f t="shared" si="14"/>
        <v/>
      </c>
      <c r="U41" s="474" t="str">
        <f t="shared" si="14"/>
        <v/>
      </c>
    </row>
    <row r="42" spans="2:25" ht="15" x14ac:dyDescent="0.2">
      <c r="B42" s="457" t="s">
        <v>713</v>
      </c>
      <c r="C42" s="476">
        <v>0.01</v>
      </c>
      <c r="D42" s="404"/>
      <c r="E42" s="440"/>
      <c r="F42" s="474">
        <v>0</v>
      </c>
      <c r="G42" s="474">
        <f ca="1">IF(G37=$G$4,$C$42*Proforma!F104,IF(G41="","",0))</f>
        <v>0</v>
      </c>
      <c r="H42" s="474">
        <f ca="1">IF(H37=$G$4,$C$42*Proforma!G104,IF(H41="","",0))</f>
        <v>0</v>
      </c>
      <c r="I42" s="474">
        <f ca="1">IF(I37=$G$4,$C$42*Proforma!H104,IF(I41="","",0))</f>
        <v>0</v>
      </c>
      <c r="J42" s="474">
        <f ca="1">IF(J37=$G$4,$C$42*Proforma!I104,IF(J41="","",0))</f>
        <v>0</v>
      </c>
      <c r="K42" s="474">
        <f ca="1">IF(K37=$G$4,$C$42*Proforma!J104,IF(K41="","",0))</f>
        <v>0</v>
      </c>
      <c r="L42" s="474">
        <f ca="1">IF(L37=$G$4,$C$42*Proforma!K104,IF(L41="","",0))</f>
        <v>0</v>
      </c>
      <c r="M42" s="474">
        <f ca="1">IF(M37=$G$4,$C$42*Proforma!L104,IF(M41="","",0))</f>
        <v>0</v>
      </c>
      <c r="N42" s="474">
        <f ca="1">IF(N37=$G$4,$C$42*Proforma!M104,IF(N41="","",0))</f>
        <v>0</v>
      </c>
      <c r="O42" s="474">
        <f ca="1">IF(O37=$G$4,$C$42*Proforma!N104,IF(O41="","",0))</f>
        <v>0</v>
      </c>
      <c r="P42" s="474">
        <f ca="1">IF(P37=$G$4,$C$42*Proforma!O104,IF(P41="","",0))</f>
        <v>148675.84537004185</v>
      </c>
      <c r="Q42" s="474" t="str">
        <f>IF(Q37=$G$4,$C$42*Proforma!P104,IF(Q41="","",0))</f>
        <v/>
      </c>
      <c r="R42" s="474" t="str">
        <f>IF(R37=$G$4,$C$42*Proforma!Q104,IF(R41="","",0))</f>
        <v/>
      </c>
      <c r="S42" s="474" t="str">
        <f>IF(S37=$G$4,$C$42*Proforma!R104,IF(S41="","",0))</f>
        <v/>
      </c>
      <c r="T42" s="474" t="str">
        <f>IF(T37=$G$4,$C$42*Proforma!S104,IF(T41="","",0))</f>
        <v/>
      </c>
      <c r="U42" s="474" t="str">
        <f>IF(U37=$G$4,$C$42*Proforma!T104,IF(U41="","",0))</f>
        <v/>
      </c>
    </row>
    <row r="43" spans="2:25" ht="15" x14ac:dyDescent="0.2">
      <c r="B43" s="457" t="s">
        <v>714</v>
      </c>
      <c r="C43" s="477">
        <v>25</v>
      </c>
      <c r="D43" s="404" t="s">
        <v>715</v>
      </c>
      <c r="E43" s="440"/>
      <c r="F43" s="474"/>
      <c r="G43" s="474">
        <f ca="1">IF(G42="","",$C43*200)</f>
        <v>5000</v>
      </c>
      <c r="H43" s="474">
        <f t="shared" ref="H43:U43" ca="1" si="15">IF(H42="","",$C43*200)</f>
        <v>5000</v>
      </c>
      <c r="I43" s="474">
        <f t="shared" ca="1" si="15"/>
        <v>5000</v>
      </c>
      <c r="J43" s="474">
        <f t="shared" ca="1" si="15"/>
        <v>5000</v>
      </c>
      <c r="K43" s="474">
        <f t="shared" ca="1" si="15"/>
        <v>5000</v>
      </c>
      <c r="L43" s="474">
        <f t="shared" ca="1" si="15"/>
        <v>5000</v>
      </c>
      <c r="M43" s="474">
        <f t="shared" ca="1" si="15"/>
        <v>5000</v>
      </c>
      <c r="N43" s="474">
        <f t="shared" ca="1" si="15"/>
        <v>5000</v>
      </c>
      <c r="O43" s="474">
        <f t="shared" ca="1" si="15"/>
        <v>5000</v>
      </c>
      <c r="P43" s="474">
        <f t="shared" ca="1" si="15"/>
        <v>5000</v>
      </c>
      <c r="Q43" s="474" t="str">
        <f t="shared" si="15"/>
        <v/>
      </c>
      <c r="R43" s="474" t="str">
        <f t="shared" si="15"/>
        <v/>
      </c>
      <c r="S43" s="474" t="str">
        <f t="shared" si="15"/>
        <v/>
      </c>
      <c r="T43" s="474" t="str">
        <f t="shared" si="15"/>
        <v/>
      </c>
      <c r="U43" s="474" t="str">
        <f t="shared" si="15"/>
        <v/>
      </c>
    </row>
    <row r="44" spans="2:25" ht="15" x14ac:dyDescent="0.2">
      <c r="B44" s="457" t="s">
        <v>716</v>
      </c>
      <c r="C44" s="473">
        <f>C43</f>
        <v>25</v>
      </c>
      <c r="D44" s="478" t="str">
        <f>IF(C44&lt;25,"Need to calculate manually when less than 25","")</f>
        <v/>
      </c>
      <c r="E44" s="440"/>
      <c r="F44" s="474">
        <f>MAX(C44-25,0)*1200+24000+22000</f>
        <v>46000</v>
      </c>
      <c r="G44" s="474"/>
      <c r="H44" s="474"/>
      <c r="I44" s="474"/>
      <c r="J44" s="474"/>
      <c r="K44" s="474"/>
      <c r="L44" s="474"/>
      <c r="M44" s="474"/>
      <c r="N44" s="474"/>
      <c r="O44" s="474"/>
      <c r="P44" s="474"/>
      <c r="Q44" s="474"/>
      <c r="R44" s="474"/>
      <c r="S44" s="474"/>
      <c r="T44" s="474"/>
      <c r="U44" s="474"/>
    </row>
    <row r="45" spans="2:25" ht="15" x14ac:dyDescent="0.2">
      <c r="B45" s="457" t="s">
        <v>717</v>
      </c>
      <c r="C45" s="476">
        <v>0.03</v>
      </c>
      <c r="D45" s="404"/>
      <c r="E45" s="440"/>
      <c r="F45" s="474">
        <v>0</v>
      </c>
      <c r="G45" s="474">
        <f ca="1">IF(G$37=$G$4,$C$45*Proforma!F$104,IF(G42="","",0))</f>
        <v>0</v>
      </c>
      <c r="H45" s="474">
        <f ca="1">IF(H$37=$G$4,$C$45*Proforma!G$104,IF(H42="","",0))</f>
        <v>0</v>
      </c>
      <c r="I45" s="474">
        <f ca="1">IF(I$37=$G$4,$C$45*Proforma!H$104,IF(I42="","",0))</f>
        <v>0</v>
      </c>
      <c r="J45" s="474">
        <f ca="1">IF(J$37=$G$4,$C$45*Proforma!I$104,IF(J42="","",0))</f>
        <v>0</v>
      </c>
      <c r="K45" s="474">
        <f ca="1">IF(K$37=$G$4,$C$45*Proforma!J$104,IF(K42="","",0))</f>
        <v>0</v>
      </c>
      <c r="L45" s="474">
        <f ca="1">IF(L$37=$G$4,$C$45*Proforma!K$104,IF(L42="","",0))</f>
        <v>0</v>
      </c>
      <c r="M45" s="474">
        <f ca="1">IF(M$37=$G$4,$C$45*Proforma!L$104,IF(M42="","",0))</f>
        <v>0</v>
      </c>
      <c r="N45" s="474">
        <f ca="1">IF(N$37=$G$4,$C$45*Proforma!M$104,IF(N42="","",0))</f>
        <v>0</v>
      </c>
      <c r="O45" s="474">
        <f ca="1">IF(O$37=$G$4,$C$45*Proforma!N$104,IF(O42="","",0))</f>
        <v>0</v>
      </c>
      <c r="P45" s="474">
        <f ca="1">IF(P$37=$G$4,$C$45*Proforma!O$104,IF(P42="","",0))</f>
        <v>446027.53611012548</v>
      </c>
      <c r="Q45" s="474" t="str">
        <f>IF(Q$37=$G$4,$C$45*Proforma!P$104,IF(Q42="","",0))</f>
        <v/>
      </c>
      <c r="R45" s="474" t="str">
        <f>IF(R$37=$G$4,$C$45*Proforma!Q$104,IF(R42="","",0))</f>
        <v/>
      </c>
      <c r="S45" s="474" t="str">
        <f>IF(S$37=$G$4,$C$45*Proforma!R$104,IF(S42="","",0))</f>
        <v/>
      </c>
      <c r="T45" s="474" t="str">
        <f>IF(T$37=$G$4,$C$45*Proforma!S$104,IF(T42="","",0))</f>
        <v/>
      </c>
      <c r="U45" s="474" t="str">
        <f>IF(U$37=$G$4,$C$45*Proforma!T$104,IF(U42="","",0))</f>
        <v/>
      </c>
    </row>
    <row r="46" spans="2:25" ht="15" x14ac:dyDescent="0.2">
      <c r="B46" s="457" t="s">
        <v>718</v>
      </c>
      <c r="C46" s="476">
        <v>5.0000000000000001E-3</v>
      </c>
      <c r="D46" s="404"/>
      <c r="E46" s="440"/>
      <c r="F46" s="474">
        <v>0</v>
      </c>
      <c r="G46" s="474">
        <f ca="1">IF(G$37=$G$4,$C$46*Proforma!F$104,IF(G45="","",0))</f>
        <v>0</v>
      </c>
      <c r="H46" s="474">
        <f ca="1">IF(H$37=$G$4,$C$46*Proforma!G$104,IF(H45="","",0))</f>
        <v>0</v>
      </c>
      <c r="I46" s="474">
        <f ca="1">IF(I$37=$G$4,$C$46*Proforma!H$104,IF(I45="","",0))</f>
        <v>0</v>
      </c>
      <c r="J46" s="474">
        <f ca="1">IF(J$37=$G$4,$C$46*Proforma!I$104,IF(J45="","",0))</f>
        <v>0</v>
      </c>
      <c r="K46" s="474">
        <f ca="1">IF(K$37=$G$4,$C$46*Proforma!J$104,IF(K45="","",0))</f>
        <v>0</v>
      </c>
      <c r="L46" s="474">
        <f ca="1">IF(L$37=$G$4,$C$46*Proforma!K$104,IF(L45="","",0))</f>
        <v>0</v>
      </c>
      <c r="M46" s="474">
        <f ca="1">IF(M$37=$G$4,$C$46*Proforma!L$104,IF(M45="","",0))</f>
        <v>0</v>
      </c>
      <c r="N46" s="474">
        <f ca="1">IF(N$37=$G$4,$C$46*Proforma!M$104,IF(N45="","",0))</f>
        <v>0</v>
      </c>
      <c r="O46" s="474">
        <f ca="1">IF(O$37=$G$4,$C$46*Proforma!N$104,IF(O45="","",0))</f>
        <v>0</v>
      </c>
      <c r="P46" s="474">
        <f ca="1">IF(P$37=$G$4,$C$46*Proforma!O$104,IF(P45="","",0))</f>
        <v>74337.922685020923</v>
      </c>
      <c r="Q46" s="474" t="str">
        <f>IF(Q$37=$G$4,$C$46*Proforma!P$104,IF(Q45="","",0))</f>
        <v/>
      </c>
      <c r="R46" s="474" t="str">
        <f>IF(R$37=$G$4,$C$46*Proforma!Q$104,IF(R45="","",0))</f>
        <v/>
      </c>
      <c r="S46" s="474" t="str">
        <f>IF(S$37=$G$4,$C$46*Proforma!R$104,IF(S45="","",0))</f>
        <v/>
      </c>
      <c r="T46" s="474" t="str">
        <f>IF(T$37=$G$4,$C$46*Proforma!S$104,IF(T45="","",0))</f>
        <v/>
      </c>
      <c r="U46" s="474" t="str">
        <f>IF(U$37=$G$4,$C$46*Proforma!T$104,IF(U45="","",0))</f>
        <v/>
      </c>
    </row>
    <row r="47" spans="2:25" ht="15" x14ac:dyDescent="0.2">
      <c r="B47" s="404" t="s">
        <v>719</v>
      </c>
      <c r="C47" s="404"/>
      <c r="D47" s="404"/>
      <c r="E47" s="440"/>
      <c r="F47" s="474">
        <f>IF(F37="","",F39-SUM(F40:F46))</f>
        <v>-4155999.8119999999</v>
      </c>
      <c r="G47" s="474">
        <f t="shared" ref="G47:U47" ca="1" si="16">IF(G37="","",G39-SUM(G40:G46))</f>
        <v>-33447.200108743127</v>
      </c>
      <c r="H47" s="474">
        <f t="shared" ca="1" si="16"/>
        <v>76115.657891256822</v>
      </c>
      <c r="I47" s="474">
        <f t="shared" ca="1" si="16"/>
        <v>201555.07405125684</v>
      </c>
      <c r="J47" s="474">
        <f t="shared" ca="1" si="16"/>
        <v>333350.37953445676</v>
      </c>
      <c r="K47" s="474">
        <f t="shared" ca="1" si="16"/>
        <v>5545531.2206822578</v>
      </c>
      <c r="L47" s="474">
        <f t="shared" ca="1" si="16"/>
        <v>93795.578502834542</v>
      </c>
      <c r="M47" s="474">
        <f t="shared" ca="1" si="16"/>
        <v>125672.94286285026</v>
      </c>
      <c r="N47" s="474">
        <f t="shared" ca="1" si="16"/>
        <v>158917.52833099407</v>
      </c>
      <c r="O47" s="474">
        <f t="shared" ca="1" si="16"/>
        <v>193585.86628226633</v>
      </c>
      <c r="P47" s="474">
        <f t="shared" ca="1" si="16"/>
        <v>-165469.23713779659</v>
      </c>
      <c r="Q47" s="474" t="str">
        <f t="shared" si="16"/>
        <v/>
      </c>
      <c r="R47" s="474" t="str">
        <f t="shared" si="16"/>
        <v/>
      </c>
      <c r="S47" s="474" t="str">
        <f t="shared" si="16"/>
        <v/>
      </c>
      <c r="T47" s="474" t="str">
        <f t="shared" si="16"/>
        <v/>
      </c>
      <c r="U47" s="474" t="str">
        <f t="shared" si="16"/>
        <v/>
      </c>
    </row>
    <row r="48" spans="2:25" ht="15" x14ac:dyDescent="0.2">
      <c r="B48" s="404" t="s">
        <v>720</v>
      </c>
      <c r="C48" s="404"/>
      <c r="D48" s="404"/>
      <c r="E48" s="404"/>
      <c r="F48" s="456">
        <f ca="1">IRR(F47:U47)</f>
        <v>9.5087309220845739E-2</v>
      </c>
      <c r="G48" s="405"/>
      <c r="H48" s="405"/>
      <c r="I48" s="405"/>
      <c r="J48" s="405"/>
      <c r="K48" s="405"/>
      <c r="L48" s="405"/>
      <c r="M48" s="405"/>
      <c r="N48" s="405"/>
      <c r="O48" s="405"/>
      <c r="P48" s="405"/>
      <c r="Q48" s="405"/>
      <c r="R48" s="405"/>
      <c r="S48" s="405"/>
      <c r="T48" s="405"/>
      <c r="U48" s="405"/>
    </row>
    <row r="49" spans="2:21" ht="15" x14ac:dyDescent="0.2">
      <c r="B49" s="404" t="s">
        <v>686</v>
      </c>
      <c r="C49" s="404"/>
      <c r="D49" s="404"/>
      <c r="E49" s="404"/>
      <c r="F49" s="479">
        <f ca="1">SUMIF(F47:U47,"&gt;0")/-SUMIF(F47:U47,"&lt;0")</f>
        <v>1.545041021007534</v>
      </c>
      <c r="G49" s="405"/>
      <c r="H49" s="405"/>
      <c r="I49" s="405"/>
      <c r="J49" s="405"/>
      <c r="K49" s="405"/>
      <c r="L49" s="405"/>
      <c r="M49" s="405"/>
      <c r="N49" s="405"/>
      <c r="O49" s="405"/>
      <c r="P49" s="405"/>
      <c r="Q49" s="405"/>
      <c r="R49" s="405"/>
      <c r="S49" s="405"/>
      <c r="T49" s="405"/>
      <c r="U49" s="405"/>
    </row>
    <row r="50" spans="2:21" ht="5" customHeight="1" x14ac:dyDescent="0.2">
      <c r="B50" s="404"/>
      <c r="C50" s="404"/>
      <c r="D50" s="404"/>
      <c r="E50" s="405"/>
      <c r="F50" s="480"/>
      <c r="G50" s="405"/>
      <c r="H50" s="405"/>
      <c r="I50" s="405"/>
      <c r="J50" s="405"/>
      <c r="K50" s="405"/>
      <c r="L50" s="405"/>
      <c r="M50" s="405"/>
      <c r="N50" s="405"/>
      <c r="O50" s="405"/>
      <c r="P50" s="480"/>
      <c r="Q50" s="405"/>
      <c r="R50" s="405"/>
      <c r="S50" s="405"/>
      <c r="T50" s="405"/>
      <c r="U50" s="405"/>
    </row>
    <row r="51" spans="2:21" ht="16" x14ac:dyDescent="0.2">
      <c r="B51" s="407" t="s">
        <v>721</v>
      </c>
      <c r="C51" s="404"/>
      <c r="D51" s="404"/>
      <c r="E51" s="404"/>
      <c r="F51" s="405"/>
      <c r="G51" s="405"/>
      <c r="H51" s="405"/>
      <c r="I51" s="405"/>
      <c r="J51" s="405"/>
      <c r="K51" s="405"/>
      <c r="L51" s="405"/>
      <c r="M51" s="405"/>
      <c r="N51" s="405"/>
      <c r="O51" s="405"/>
      <c r="P51" s="405"/>
      <c r="Q51" s="405"/>
      <c r="R51" s="405"/>
      <c r="S51" s="405"/>
      <c r="T51" s="405"/>
      <c r="U51" s="405"/>
    </row>
    <row r="52" spans="2:21" ht="15" x14ac:dyDescent="0.2">
      <c r="B52" s="481" t="s">
        <v>722</v>
      </c>
      <c r="C52" s="482">
        <f>E14</f>
        <v>7.0000000000000007E-2</v>
      </c>
      <c r="D52" s="428"/>
      <c r="E52" s="428"/>
      <c r="F52" s="429"/>
      <c r="G52" s="429"/>
      <c r="H52" s="429"/>
      <c r="I52" s="429"/>
      <c r="J52" s="429"/>
      <c r="K52" s="429"/>
      <c r="L52" s="429"/>
      <c r="M52" s="429"/>
      <c r="N52" s="429"/>
      <c r="O52" s="429"/>
      <c r="P52" s="429"/>
      <c r="Q52" s="429"/>
      <c r="R52" s="429"/>
      <c r="S52" s="429"/>
      <c r="T52" s="429"/>
      <c r="U52" s="429"/>
    </row>
    <row r="53" spans="2:21" ht="15" x14ac:dyDescent="0.2">
      <c r="B53" s="404" t="s">
        <v>723</v>
      </c>
      <c r="C53" s="404"/>
      <c r="D53" s="404"/>
      <c r="E53" s="404"/>
      <c r="F53" s="483">
        <f t="shared" ref="F53:U53" si="17">IF(F37="","",E58)</f>
        <v>0</v>
      </c>
      <c r="G53" s="483">
        <f t="shared" si="17"/>
        <v>3948199.8213999998</v>
      </c>
      <c r="H53" s="483">
        <f t="shared" ca="1" si="17"/>
        <v>4256348.6490013059</v>
      </c>
      <c r="I53" s="483">
        <f t="shared" ca="1" si="17"/>
        <v>4481983.1794347037</v>
      </c>
      <c r="J53" s="483">
        <f t="shared" ca="1" si="17"/>
        <v>4604244.6816464392</v>
      </c>
      <c r="K53" s="483">
        <f t="shared" ca="1" si="17"/>
        <v>4609858.9488039557</v>
      </c>
      <c r="L53" s="483">
        <f t="shared" ca="1" si="17"/>
        <v>0</v>
      </c>
      <c r="M53" s="483">
        <f t="shared" ca="1" si="17"/>
        <v>0</v>
      </c>
      <c r="N53" s="483">
        <f t="shared" ca="1" si="17"/>
        <v>0</v>
      </c>
      <c r="O53" s="483">
        <f t="shared" ca="1" si="17"/>
        <v>0</v>
      </c>
      <c r="P53" s="483">
        <f t="shared" ca="1" si="17"/>
        <v>0</v>
      </c>
      <c r="Q53" s="483" t="str">
        <f t="shared" si="17"/>
        <v/>
      </c>
      <c r="R53" s="483" t="str">
        <f t="shared" si="17"/>
        <v/>
      </c>
      <c r="S53" s="483" t="str">
        <f t="shared" si="17"/>
        <v/>
      </c>
      <c r="T53" s="483" t="str">
        <f t="shared" si="17"/>
        <v/>
      </c>
      <c r="U53" s="483" t="str">
        <f t="shared" si="17"/>
        <v/>
      </c>
    </row>
    <row r="54" spans="2:21" ht="15" x14ac:dyDescent="0.2">
      <c r="B54" s="404" t="s">
        <v>724</v>
      </c>
      <c r="C54" s="404"/>
      <c r="D54" s="404"/>
      <c r="E54" s="404"/>
      <c r="F54" s="484" t="str">
        <f ca="1">IF(ROUND(SUM(G54:U54),0)=ROUND(SUM(F56:U56),0),"All Capital Returned","Capital Not Returned")</f>
        <v>Capital Not Returned</v>
      </c>
      <c r="G54" s="483">
        <f ca="1">IF(G37="","",G60-G55)</f>
        <v>-276373.98749800003</v>
      </c>
      <c r="H54" s="483">
        <f t="shared" ref="H54:U54" ca="1" si="18">IF(H37="","",H60-H55)</f>
        <v>-225634.53043339745</v>
      </c>
      <c r="I54" s="483">
        <f t="shared" ca="1" si="18"/>
        <v>-122261.50221173529</v>
      </c>
      <c r="J54" s="483">
        <f t="shared" ca="1" si="18"/>
        <v>-5614.2671575168497</v>
      </c>
      <c r="K54" s="483">
        <f t="shared" ca="1" si="18"/>
        <v>4609858.9488039557</v>
      </c>
      <c r="L54" s="483">
        <f t="shared" ca="1" si="18"/>
        <v>0</v>
      </c>
      <c r="M54" s="483">
        <f t="shared" ca="1" si="18"/>
        <v>0</v>
      </c>
      <c r="N54" s="483">
        <f t="shared" ca="1" si="18"/>
        <v>0</v>
      </c>
      <c r="O54" s="483">
        <f t="shared" ca="1" si="18"/>
        <v>0</v>
      </c>
      <c r="P54" s="483">
        <f t="shared" ca="1" si="18"/>
        <v>0</v>
      </c>
      <c r="Q54" s="483" t="str">
        <f t="shared" si="18"/>
        <v/>
      </c>
      <c r="R54" s="483" t="str">
        <f t="shared" si="18"/>
        <v/>
      </c>
      <c r="S54" s="483" t="str">
        <f t="shared" si="18"/>
        <v/>
      </c>
      <c r="T54" s="483" t="str">
        <f t="shared" si="18"/>
        <v/>
      </c>
      <c r="U54" s="483" t="str">
        <f t="shared" si="18"/>
        <v/>
      </c>
    </row>
    <row r="55" spans="2:21" ht="15" x14ac:dyDescent="0.2">
      <c r="B55" s="404" t="s">
        <v>725</v>
      </c>
      <c r="C55" s="404"/>
      <c r="D55" s="404"/>
      <c r="E55" s="404"/>
      <c r="F55" s="483">
        <f>IF(F53="","",IF($D$4="Equity Multiple",E56*$C52-E56,F53*Preferred_Return))</f>
        <v>0</v>
      </c>
      <c r="G55" s="483">
        <f t="shared" ref="G55:U55" si="19">IF(G53="","",IF($D$4="Equity Multiple",F56*$C52-F56,G53*Preferred_Return))</f>
        <v>276373.98749800003</v>
      </c>
      <c r="H55" s="483">
        <f t="shared" ca="1" si="19"/>
        <v>297944.40543009143</v>
      </c>
      <c r="I55" s="483">
        <f t="shared" ca="1" si="19"/>
        <v>313738.82256042928</v>
      </c>
      <c r="J55" s="483">
        <f t="shared" ca="1" si="19"/>
        <v>322297.12771525077</v>
      </c>
      <c r="K55" s="483">
        <f t="shared" ca="1" si="19"/>
        <v>322690.12641627691</v>
      </c>
      <c r="L55" s="483">
        <f t="shared" ca="1" si="19"/>
        <v>0</v>
      </c>
      <c r="M55" s="483">
        <f t="shared" ca="1" si="19"/>
        <v>0</v>
      </c>
      <c r="N55" s="483">
        <f t="shared" ca="1" si="19"/>
        <v>0</v>
      </c>
      <c r="O55" s="483">
        <f t="shared" ca="1" si="19"/>
        <v>0</v>
      </c>
      <c r="P55" s="483">
        <f t="shared" ca="1" si="19"/>
        <v>0</v>
      </c>
      <c r="Q55" s="483" t="str">
        <f t="shared" si="19"/>
        <v/>
      </c>
      <c r="R55" s="483" t="str">
        <f t="shared" si="19"/>
        <v/>
      </c>
      <c r="S55" s="483" t="str">
        <f t="shared" si="19"/>
        <v/>
      </c>
      <c r="T55" s="483" t="str">
        <f t="shared" si="19"/>
        <v/>
      </c>
      <c r="U55" s="483" t="str">
        <f t="shared" si="19"/>
        <v/>
      </c>
    </row>
    <row r="56" spans="2:21" ht="15" x14ac:dyDescent="0.2">
      <c r="B56" s="404" t="s">
        <v>726</v>
      </c>
      <c r="C56" s="404"/>
      <c r="D56" s="404"/>
      <c r="E56" s="404"/>
      <c r="F56" s="483">
        <f t="shared" ref="F56:U56" si="20">IF(F53="","",-MIN(0,F47*Equity_Share_LP))</f>
        <v>3948199.8213999998</v>
      </c>
      <c r="G56" s="483">
        <f t="shared" ca="1" si="20"/>
        <v>31774.840103305971</v>
      </c>
      <c r="H56" s="483">
        <f t="shared" ca="1" si="20"/>
        <v>0</v>
      </c>
      <c r="I56" s="483">
        <f t="shared" ca="1" si="20"/>
        <v>0</v>
      </c>
      <c r="J56" s="483">
        <f t="shared" ca="1" si="20"/>
        <v>0</v>
      </c>
      <c r="K56" s="483">
        <f t="shared" ca="1" si="20"/>
        <v>0</v>
      </c>
      <c r="L56" s="483">
        <f t="shared" ca="1" si="20"/>
        <v>0</v>
      </c>
      <c r="M56" s="483">
        <f t="shared" ca="1" si="20"/>
        <v>0</v>
      </c>
      <c r="N56" s="483">
        <f t="shared" ca="1" si="20"/>
        <v>0</v>
      </c>
      <c r="O56" s="483">
        <f t="shared" ca="1" si="20"/>
        <v>0</v>
      </c>
      <c r="P56" s="483">
        <f t="shared" ca="1" si="20"/>
        <v>157195.77528090676</v>
      </c>
      <c r="Q56" s="483" t="str">
        <f t="shared" si="20"/>
        <v/>
      </c>
      <c r="R56" s="483" t="str">
        <f t="shared" si="20"/>
        <v/>
      </c>
      <c r="S56" s="483" t="str">
        <f t="shared" si="20"/>
        <v/>
      </c>
      <c r="T56" s="483" t="str">
        <f t="shared" si="20"/>
        <v/>
      </c>
      <c r="U56" s="483" t="str">
        <f t="shared" si="20"/>
        <v/>
      </c>
    </row>
    <row r="57" spans="2:21" ht="15" x14ac:dyDescent="0.2">
      <c r="B57" s="404" t="s">
        <v>727</v>
      </c>
      <c r="C57" s="404"/>
      <c r="D57" s="404"/>
      <c r="E57" s="404"/>
      <c r="F57" s="483">
        <f>MAX(F47,F55)</f>
        <v>0</v>
      </c>
      <c r="G57" s="411">
        <f t="shared" ref="G57:U57" ca="1" si="21">IF(G53="","",MIN(G53+G55,MAX(G47,0)*$I$14))</f>
        <v>0</v>
      </c>
      <c r="H57" s="411">
        <f t="shared" ca="1" si="21"/>
        <v>72309.874996693979</v>
      </c>
      <c r="I57" s="411">
        <f t="shared" ca="1" si="21"/>
        <v>191477.32034869399</v>
      </c>
      <c r="J57" s="411">
        <f t="shared" ca="1" si="21"/>
        <v>316682.86055773392</v>
      </c>
      <c r="K57" s="411">
        <f t="shared" ca="1" si="21"/>
        <v>4932549.0752202328</v>
      </c>
      <c r="L57" s="411">
        <f t="shared" ca="1" si="21"/>
        <v>0</v>
      </c>
      <c r="M57" s="411">
        <f t="shared" ca="1" si="21"/>
        <v>0</v>
      </c>
      <c r="N57" s="411">
        <f t="shared" ca="1" si="21"/>
        <v>0</v>
      </c>
      <c r="O57" s="411">
        <f t="shared" ca="1" si="21"/>
        <v>0</v>
      </c>
      <c r="P57" s="411">
        <f t="shared" ca="1" si="21"/>
        <v>0</v>
      </c>
      <c r="Q57" s="411" t="str">
        <f t="shared" si="21"/>
        <v/>
      </c>
      <c r="R57" s="411" t="str">
        <f t="shared" si="21"/>
        <v/>
      </c>
      <c r="S57" s="411" t="str">
        <f t="shared" si="21"/>
        <v/>
      </c>
      <c r="T57" s="411" t="str">
        <f t="shared" si="21"/>
        <v/>
      </c>
      <c r="U57" s="411" t="str">
        <f t="shared" si="21"/>
        <v/>
      </c>
    </row>
    <row r="58" spans="2:21" ht="15" x14ac:dyDescent="0.2">
      <c r="B58" s="404" t="s">
        <v>728</v>
      </c>
      <c r="C58" s="404"/>
      <c r="D58" s="404"/>
      <c r="E58" s="404"/>
      <c r="F58" s="483">
        <f>F53+F56-F57</f>
        <v>3948199.8213999998</v>
      </c>
      <c r="G58" s="483">
        <f ca="1">IF(G53="","",G53+G55+G56-G57)</f>
        <v>4256348.6490013059</v>
      </c>
      <c r="H58" s="483">
        <f t="shared" ref="H58:U58" ca="1" si="22">IF(H53="","",H53+H55+H56-H57)</f>
        <v>4481983.1794347037</v>
      </c>
      <c r="I58" s="483">
        <f t="shared" ca="1" si="22"/>
        <v>4604244.6816464392</v>
      </c>
      <c r="J58" s="483">
        <f t="shared" ca="1" si="22"/>
        <v>4609858.9488039557</v>
      </c>
      <c r="K58" s="483">
        <f t="shared" ca="1" si="22"/>
        <v>0</v>
      </c>
      <c r="L58" s="483">
        <f t="shared" ca="1" si="22"/>
        <v>0</v>
      </c>
      <c r="M58" s="483">
        <f t="shared" ca="1" si="22"/>
        <v>0</v>
      </c>
      <c r="N58" s="483">
        <f t="shared" ca="1" si="22"/>
        <v>0</v>
      </c>
      <c r="O58" s="483">
        <f t="shared" ca="1" si="22"/>
        <v>0</v>
      </c>
      <c r="P58" s="483">
        <f t="shared" ca="1" si="22"/>
        <v>157195.77528090676</v>
      </c>
      <c r="Q58" s="483" t="str">
        <f t="shared" si="22"/>
        <v/>
      </c>
      <c r="R58" s="483" t="str">
        <f t="shared" si="22"/>
        <v/>
      </c>
      <c r="S58" s="483" t="str">
        <f t="shared" si="22"/>
        <v/>
      </c>
      <c r="T58" s="483" t="str">
        <f t="shared" si="22"/>
        <v/>
      </c>
      <c r="U58" s="483" t="str">
        <f t="shared" si="22"/>
        <v/>
      </c>
    </row>
    <row r="59" spans="2:21" ht="15" x14ac:dyDescent="0.2">
      <c r="B59" s="485" t="str">
        <f>IF(D4="Equity Multiple", "LP EMx Check","LP IRR Check")</f>
        <v>LP IRR Check</v>
      </c>
      <c r="C59" s="404"/>
      <c r="D59" s="404"/>
      <c r="E59" s="486">
        <f ca="1">IF($D$4="IRR",IRR(F59:U59),SUMIF(F59:U59,"&gt;0")/-SUMIF(F59:U59,"&lt;0"))</f>
        <v>6.5388786616288774E-2</v>
      </c>
      <c r="F59" s="483">
        <f t="shared" ref="F59:U59" si="23">IF(F53="","",-F56+F57)</f>
        <v>-3948199.8213999998</v>
      </c>
      <c r="G59" s="483">
        <f t="shared" ca="1" si="23"/>
        <v>-31774.840103305971</v>
      </c>
      <c r="H59" s="483">
        <f t="shared" ca="1" si="23"/>
        <v>72309.874996693979</v>
      </c>
      <c r="I59" s="483">
        <f t="shared" ca="1" si="23"/>
        <v>191477.32034869399</v>
      </c>
      <c r="J59" s="483">
        <f t="shared" ca="1" si="23"/>
        <v>316682.86055773392</v>
      </c>
      <c r="K59" s="483">
        <f t="shared" ca="1" si="23"/>
        <v>4932549.0752202328</v>
      </c>
      <c r="L59" s="483">
        <f t="shared" ca="1" si="23"/>
        <v>0</v>
      </c>
      <c r="M59" s="483">
        <f t="shared" ca="1" si="23"/>
        <v>0</v>
      </c>
      <c r="N59" s="483">
        <f t="shared" ca="1" si="23"/>
        <v>0</v>
      </c>
      <c r="O59" s="483">
        <f t="shared" ca="1" si="23"/>
        <v>0</v>
      </c>
      <c r="P59" s="483">
        <f t="shared" ca="1" si="23"/>
        <v>-157195.77528090676</v>
      </c>
      <c r="Q59" s="483" t="str">
        <f t="shared" si="23"/>
        <v/>
      </c>
      <c r="R59" s="483" t="str">
        <f t="shared" si="23"/>
        <v/>
      </c>
      <c r="S59" s="483" t="str">
        <f t="shared" si="23"/>
        <v/>
      </c>
      <c r="T59" s="483" t="str">
        <f t="shared" si="23"/>
        <v/>
      </c>
      <c r="U59" s="483" t="str">
        <f t="shared" si="23"/>
        <v/>
      </c>
    </row>
    <row r="60" spans="2:21" ht="15" x14ac:dyDescent="0.2">
      <c r="B60" s="404" t="s">
        <v>729</v>
      </c>
      <c r="C60" s="404"/>
      <c r="D60" s="404"/>
      <c r="E60" s="404"/>
      <c r="F60" s="483">
        <f>MAX(F47,F55)</f>
        <v>0</v>
      </c>
      <c r="G60" s="483">
        <f ca="1">IF(G53="","",MIN(G53+G55,MAX(G47,0)*$I$14))</f>
        <v>0</v>
      </c>
      <c r="H60" s="483">
        <f t="shared" ref="H60:U60" ca="1" si="24">H57</f>
        <v>72309.874996693979</v>
      </c>
      <c r="I60" s="483">
        <f t="shared" ca="1" si="24"/>
        <v>191477.32034869399</v>
      </c>
      <c r="J60" s="483">
        <f t="shared" ca="1" si="24"/>
        <v>316682.86055773392</v>
      </c>
      <c r="K60" s="483">
        <f t="shared" ca="1" si="24"/>
        <v>4932549.0752202328</v>
      </c>
      <c r="L60" s="483">
        <f t="shared" ca="1" si="24"/>
        <v>0</v>
      </c>
      <c r="M60" s="483">
        <f t="shared" ca="1" si="24"/>
        <v>0</v>
      </c>
      <c r="N60" s="483">
        <f t="shared" ca="1" si="24"/>
        <v>0</v>
      </c>
      <c r="O60" s="483">
        <f t="shared" ca="1" si="24"/>
        <v>0</v>
      </c>
      <c r="P60" s="483">
        <f t="shared" ca="1" si="24"/>
        <v>0</v>
      </c>
      <c r="Q60" s="483" t="str">
        <f t="shared" si="24"/>
        <v/>
      </c>
      <c r="R60" s="483" t="str">
        <f t="shared" si="24"/>
        <v/>
      </c>
      <c r="S60" s="483" t="str">
        <f t="shared" si="24"/>
        <v/>
      </c>
      <c r="T60" s="483" t="str">
        <f t="shared" si="24"/>
        <v/>
      </c>
      <c r="U60" s="483" t="str">
        <f t="shared" si="24"/>
        <v/>
      </c>
    </row>
    <row r="61" spans="2:21" ht="5" customHeight="1" x14ac:dyDescent="0.2">
      <c r="B61" s="404"/>
      <c r="C61" s="404"/>
      <c r="D61" s="404"/>
      <c r="E61" s="404"/>
      <c r="F61" s="483"/>
      <c r="G61" s="483"/>
      <c r="H61" s="483"/>
      <c r="I61" s="483"/>
      <c r="J61" s="483"/>
      <c r="K61" s="483"/>
      <c r="L61" s="483"/>
      <c r="M61" s="483"/>
      <c r="N61" s="483"/>
      <c r="O61" s="483"/>
      <c r="P61" s="483"/>
      <c r="Q61" s="483"/>
      <c r="R61" s="483"/>
      <c r="S61" s="483"/>
      <c r="T61" s="483"/>
      <c r="U61" s="483"/>
    </row>
    <row r="62" spans="2:21" ht="15" x14ac:dyDescent="0.2">
      <c r="B62" s="404" t="s">
        <v>730</v>
      </c>
      <c r="C62" s="404"/>
      <c r="D62" s="404"/>
      <c r="E62" s="404"/>
      <c r="F62" s="483">
        <f>IF(F37="","",E66)</f>
        <v>0</v>
      </c>
      <c r="G62" s="483">
        <f t="shared" ref="G62:U62" si="25">IF(G37="","",F66)</f>
        <v>207799.99060000002</v>
      </c>
      <c r="H62" s="483">
        <f t="shared" ca="1" si="25"/>
        <v>224018.34994743718</v>
      </c>
      <c r="I62" s="483">
        <f t="shared" ca="1" si="25"/>
        <v>235893.85154919495</v>
      </c>
      <c r="J62" s="483">
        <f t="shared" ca="1" si="25"/>
        <v>242328.66745507575</v>
      </c>
      <c r="K62" s="483">
        <f t="shared" ca="1" si="25"/>
        <v>242624.15520020822</v>
      </c>
      <c r="L62" s="483">
        <f t="shared" ca="1" si="25"/>
        <v>0</v>
      </c>
      <c r="M62" s="483">
        <f t="shared" ca="1" si="25"/>
        <v>0</v>
      </c>
      <c r="N62" s="483">
        <f t="shared" ca="1" si="25"/>
        <v>0</v>
      </c>
      <c r="O62" s="483">
        <f t="shared" ca="1" si="25"/>
        <v>0</v>
      </c>
      <c r="P62" s="483">
        <f t="shared" ca="1" si="25"/>
        <v>0</v>
      </c>
      <c r="Q62" s="483" t="str">
        <f t="shared" si="25"/>
        <v/>
      </c>
      <c r="R62" s="483" t="str">
        <f t="shared" si="25"/>
        <v/>
      </c>
      <c r="S62" s="483" t="str">
        <f t="shared" si="25"/>
        <v/>
      </c>
      <c r="T62" s="483" t="str">
        <f t="shared" si="25"/>
        <v/>
      </c>
      <c r="U62" s="483" t="str">
        <f t="shared" si="25"/>
        <v/>
      </c>
    </row>
    <row r="63" spans="2:21" ht="15" x14ac:dyDescent="0.2">
      <c r="B63" s="404" t="s">
        <v>731</v>
      </c>
      <c r="C63" s="404"/>
      <c r="D63" s="404"/>
      <c r="E63" s="404"/>
      <c r="F63" s="483">
        <f t="shared" ref="F63:U63" si="26">IF(F62="","",IF($D$4="Equity Multiple",E64*$C52-E64,F62*Preferred_Return))</f>
        <v>0</v>
      </c>
      <c r="G63" s="483">
        <f t="shared" si="26"/>
        <v>14545.999342000003</v>
      </c>
      <c r="H63" s="483">
        <f t="shared" ca="1" si="26"/>
        <v>15681.284496320604</v>
      </c>
      <c r="I63" s="483">
        <f t="shared" ca="1" si="26"/>
        <v>16512.569608443649</v>
      </c>
      <c r="J63" s="483">
        <f t="shared" ca="1" si="26"/>
        <v>16963.006721855305</v>
      </c>
      <c r="K63" s="483">
        <f t="shared" ca="1" si="26"/>
        <v>16983.690864014578</v>
      </c>
      <c r="L63" s="483">
        <f t="shared" ca="1" si="26"/>
        <v>0</v>
      </c>
      <c r="M63" s="483">
        <f t="shared" ca="1" si="26"/>
        <v>0</v>
      </c>
      <c r="N63" s="483">
        <f t="shared" ca="1" si="26"/>
        <v>0</v>
      </c>
      <c r="O63" s="483">
        <f t="shared" ca="1" si="26"/>
        <v>0</v>
      </c>
      <c r="P63" s="483">
        <f t="shared" ca="1" si="26"/>
        <v>0</v>
      </c>
      <c r="Q63" s="483" t="str">
        <f t="shared" si="26"/>
        <v/>
      </c>
      <c r="R63" s="483" t="str">
        <f t="shared" si="26"/>
        <v/>
      </c>
      <c r="S63" s="483" t="str">
        <f t="shared" si="26"/>
        <v/>
      </c>
      <c r="T63" s="483" t="str">
        <f t="shared" si="26"/>
        <v/>
      </c>
      <c r="U63" s="483" t="str">
        <f t="shared" si="26"/>
        <v/>
      </c>
    </row>
    <row r="64" spans="2:21" ht="15" x14ac:dyDescent="0.2">
      <c r="B64" s="404" t="s">
        <v>732</v>
      </c>
      <c r="C64" s="404"/>
      <c r="D64" s="404"/>
      <c r="E64" s="404"/>
      <c r="F64" s="483">
        <f t="shared" ref="F64:U64" si="27">IF(F37="","",-MIN(0,F47*Equity_Share_Sponsor))</f>
        <v>207799.99060000002</v>
      </c>
      <c r="G64" s="483">
        <f t="shared" ca="1" si="27"/>
        <v>1672.3600054371564</v>
      </c>
      <c r="H64" s="483">
        <f t="shared" ca="1" si="27"/>
        <v>0</v>
      </c>
      <c r="I64" s="483">
        <f t="shared" ca="1" si="27"/>
        <v>0</v>
      </c>
      <c r="J64" s="483">
        <f t="shared" ca="1" si="27"/>
        <v>0</v>
      </c>
      <c r="K64" s="483">
        <f t="shared" ca="1" si="27"/>
        <v>0</v>
      </c>
      <c r="L64" s="483">
        <f t="shared" ca="1" si="27"/>
        <v>0</v>
      </c>
      <c r="M64" s="483">
        <f t="shared" ca="1" si="27"/>
        <v>0</v>
      </c>
      <c r="N64" s="483">
        <f t="shared" ca="1" si="27"/>
        <v>0</v>
      </c>
      <c r="O64" s="483">
        <f t="shared" ca="1" si="27"/>
        <v>0</v>
      </c>
      <c r="P64" s="483">
        <f t="shared" ca="1" si="27"/>
        <v>8273.4618568898295</v>
      </c>
      <c r="Q64" s="483" t="str">
        <f t="shared" si="27"/>
        <v/>
      </c>
      <c r="R64" s="483" t="str">
        <f t="shared" si="27"/>
        <v/>
      </c>
      <c r="S64" s="483" t="str">
        <f t="shared" si="27"/>
        <v/>
      </c>
      <c r="T64" s="483" t="str">
        <f t="shared" si="27"/>
        <v/>
      </c>
      <c r="U64" s="483" t="str">
        <f t="shared" si="27"/>
        <v/>
      </c>
    </row>
    <row r="65" spans="2:21" ht="15" x14ac:dyDescent="0.2">
      <c r="B65" s="404" t="s">
        <v>733</v>
      </c>
      <c r="C65" s="404"/>
      <c r="D65" s="404"/>
      <c r="E65" s="404"/>
      <c r="F65" s="483">
        <f t="shared" ref="F65:U65" si="28">IF(F37="","",IF(CU?,MAX(MIN(F47-F60,F62+F63+F64),0),F57/$I$14*$H$14))</f>
        <v>0</v>
      </c>
      <c r="G65" s="411">
        <f t="shared" ca="1" si="28"/>
        <v>0</v>
      </c>
      <c r="H65" s="411">
        <f t="shared" ca="1" si="28"/>
        <v>3805.7828945628412</v>
      </c>
      <c r="I65" s="411">
        <f t="shared" ca="1" si="28"/>
        <v>10077.753702562843</v>
      </c>
      <c r="J65" s="411">
        <f t="shared" ca="1" si="28"/>
        <v>16667.51897672284</v>
      </c>
      <c r="K65" s="411">
        <f t="shared" ca="1" si="28"/>
        <v>259607.8460642228</v>
      </c>
      <c r="L65" s="411">
        <f t="shared" ca="1" si="28"/>
        <v>0</v>
      </c>
      <c r="M65" s="411">
        <f t="shared" ca="1" si="28"/>
        <v>0</v>
      </c>
      <c r="N65" s="411">
        <f t="shared" ca="1" si="28"/>
        <v>0</v>
      </c>
      <c r="O65" s="411">
        <f t="shared" ca="1" si="28"/>
        <v>0</v>
      </c>
      <c r="P65" s="411">
        <f t="shared" ca="1" si="28"/>
        <v>0</v>
      </c>
      <c r="Q65" s="411" t="str">
        <f t="shared" si="28"/>
        <v/>
      </c>
      <c r="R65" s="411" t="str">
        <f t="shared" si="28"/>
        <v/>
      </c>
      <c r="S65" s="411" t="str">
        <f t="shared" si="28"/>
        <v/>
      </c>
      <c r="T65" s="411" t="str">
        <f t="shared" si="28"/>
        <v/>
      </c>
      <c r="U65" s="411" t="str">
        <f t="shared" si="28"/>
        <v/>
      </c>
    </row>
    <row r="66" spans="2:21" ht="15" x14ac:dyDescent="0.2">
      <c r="B66" s="404" t="s">
        <v>734</v>
      </c>
      <c r="C66" s="404"/>
      <c r="D66" s="404"/>
      <c r="E66" s="404"/>
      <c r="F66" s="483">
        <f>IF(F37="","",F62+F63+F64-F65)</f>
        <v>207799.99060000002</v>
      </c>
      <c r="G66" s="411">
        <f t="shared" ref="G66:U66" ca="1" si="29">IF(G37="","",G62+G63+G64-G65)</f>
        <v>224018.34994743718</v>
      </c>
      <c r="H66" s="411">
        <f t="shared" ca="1" si="29"/>
        <v>235893.85154919495</v>
      </c>
      <c r="I66" s="411">
        <f t="shared" ca="1" si="29"/>
        <v>242328.66745507575</v>
      </c>
      <c r="J66" s="411">
        <f t="shared" ca="1" si="29"/>
        <v>242624.15520020822</v>
      </c>
      <c r="K66" s="411">
        <f t="shared" ca="1" si="29"/>
        <v>0</v>
      </c>
      <c r="L66" s="411">
        <f t="shared" ca="1" si="29"/>
        <v>0</v>
      </c>
      <c r="M66" s="411">
        <f t="shared" ca="1" si="29"/>
        <v>0</v>
      </c>
      <c r="N66" s="411">
        <f t="shared" ca="1" si="29"/>
        <v>0</v>
      </c>
      <c r="O66" s="411">
        <f t="shared" ca="1" si="29"/>
        <v>0</v>
      </c>
      <c r="P66" s="411">
        <f t="shared" ca="1" si="29"/>
        <v>8273.4618568898295</v>
      </c>
      <c r="Q66" s="411" t="str">
        <f t="shared" si="29"/>
        <v/>
      </c>
      <c r="R66" s="411" t="str">
        <f t="shared" si="29"/>
        <v/>
      </c>
      <c r="S66" s="411" t="str">
        <f t="shared" si="29"/>
        <v/>
      </c>
      <c r="T66" s="411" t="str">
        <f t="shared" si="29"/>
        <v/>
      </c>
      <c r="U66" s="411" t="str">
        <f t="shared" si="29"/>
        <v/>
      </c>
    </row>
    <row r="67" spans="2:21" ht="15" x14ac:dyDescent="0.2">
      <c r="B67" s="485" t="str">
        <f>IF(D4="Equity Multiple", "GP EMx Check","GP IRR Check")</f>
        <v>GP IRR Check</v>
      </c>
      <c r="C67" s="404"/>
      <c r="D67" s="404"/>
      <c r="E67" s="486">
        <f ca="1">IF($D$4="IRR",IFERROR(IRR(F67:U67),"NA"),SUMIF(F67:U67,"&gt;0")/-SUMIF(F67:U67,"&lt;0"))</f>
        <v>6.5388786616288774E-2</v>
      </c>
      <c r="F67" s="483">
        <f>IF(F37="","",-F64+F65)</f>
        <v>-207799.99060000002</v>
      </c>
      <c r="G67" s="411">
        <f t="shared" ref="G67:U67" ca="1" si="30">IF(G37="","",-G64+G65)</f>
        <v>-1672.3600054371564</v>
      </c>
      <c r="H67" s="411">
        <f t="shared" ca="1" si="30"/>
        <v>3805.7828945628412</v>
      </c>
      <c r="I67" s="411">
        <f t="shared" ca="1" si="30"/>
        <v>10077.753702562843</v>
      </c>
      <c r="J67" s="411">
        <f t="shared" ca="1" si="30"/>
        <v>16667.51897672284</v>
      </c>
      <c r="K67" s="411">
        <f t="shared" ca="1" si="30"/>
        <v>259607.8460642228</v>
      </c>
      <c r="L67" s="411">
        <f t="shared" ca="1" si="30"/>
        <v>0</v>
      </c>
      <c r="M67" s="411">
        <f t="shared" ca="1" si="30"/>
        <v>0</v>
      </c>
      <c r="N67" s="411">
        <f t="shared" ca="1" si="30"/>
        <v>0</v>
      </c>
      <c r="O67" s="411">
        <f t="shared" ca="1" si="30"/>
        <v>0</v>
      </c>
      <c r="P67" s="411">
        <f t="shared" ca="1" si="30"/>
        <v>-8273.4618568898295</v>
      </c>
      <c r="Q67" s="411" t="str">
        <f t="shared" si="30"/>
        <v/>
      </c>
      <c r="R67" s="411" t="str">
        <f t="shared" si="30"/>
        <v/>
      </c>
      <c r="S67" s="411" t="str">
        <f t="shared" si="30"/>
        <v/>
      </c>
      <c r="T67" s="411" t="str">
        <f t="shared" si="30"/>
        <v/>
      </c>
      <c r="U67" s="411" t="str">
        <f t="shared" si="30"/>
        <v/>
      </c>
    </row>
    <row r="68" spans="2:21" ht="5" customHeight="1" x14ac:dyDescent="0.2">
      <c r="B68" s="404"/>
      <c r="C68" s="404"/>
      <c r="D68" s="404"/>
      <c r="E68" s="404"/>
      <c r="F68" s="483"/>
      <c r="G68" s="411"/>
      <c r="H68" s="411"/>
      <c r="I68" s="411"/>
      <c r="J68" s="411"/>
      <c r="K68" s="411"/>
      <c r="L68" s="411"/>
      <c r="M68" s="411"/>
      <c r="N68" s="411"/>
      <c r="O68" s="411"/>
      <c r="P68" s="411"/>
      <c r="Q68" s="411"/>
      <c r="R68" s="411"/>
      <c r="S68" s="411"/>
      <c r="T68" s="411"/>
      <c r="U68" s="411"/>
    </row>
    <row r="69" spans="2:21" ht="15" x14ac:dyDescent="0.2">
      <c r="B69" s="404" t="str">
        <f>"Total Distributions ("&amp;B51&amp;")"</f>
        <v>Total Distributions (Return of Capital &amp; Hurdle 1 (Preferred Return))</v>
      </c>
      <c r="C69" s="404"/>
      <c r="D69" s="404"/>
      <c r="E69" s="404"/>
      <c r="F69" s="483">
        <f t="shared" ref="F69:U69" si="31">IF(F53="","",F65+F60)</f>
        <v>0</v>
      </c>
      <c r="G69" s="483">
        <f t="shared" ca="1" si="31"/>
        <v>0</v>
      </c>
      <c r="H69" s="483">
        <f t="shared" ca="1" si="31"/>
        <v>76115.657891256822</v>
      </c>
      <c r="I69" s="483">
        <f t="shared" ca="1" si="31"/>
        <v>201555.07405125684</v>
      </c>
      <c r="J69" s="483">
        <f t="shared" ca="1" si="31"/>
        <v>333350.37953445676</v>
      </c>
      <c r="K69" s="483">
        <f t="shared" ca="1" si="31"/>
        <v>5192156.9212844558</v>
      </c>
      <c r="L69" s="483">
        <f t="shared" ca="1" si="31"/>
        <v>0</v>
      </c>
      <c r="M69" s="483">
        <f t="shared" ca="1" si="31"/>
        <v>0</v>
      </c>
      <c r="N69" s="483">
        <f t="shared" ca="1" si="31"/>
        <v>0</v>
      </c>
      <c r="O69" s="483">
        <f t="shared" ca="1" si="31"/>
        <v>0</v>
      </c>
      <c r="P69" s="483">
        <f t="shared" ca="1" si="31"/>
        <v>0</v>
      </c>
      <c r="Q69" s="483" t="str">
        <f t="shared" si="31"/>
        <v/>
      </c>
      <c r="R69" s="483" t="str">
        <f t="shared" si="31"/>
        <v/>
      </c>
      <c r="S69" s="483" t="str">
        <f t="shared" si="31"/>
        <v/>
      </c>
      <c r="T69" s="483" t="str">
        <f t="shared" si="31"/>
        <v/>
      </c>
      <c r="U69" s="483" t="str">
        <f t="shared" si="31"/>
        <v/>
      </c>
    </row>
    <row r="70" spans="2:21" ht="15" x14ac:dyDescent="0.2">
      <c r="B70" s="404" t="s">
        <v>735</v>
      </c>
      <c r="C70" s="404"/>
      <c r="D70" s="404"/>
      <c r="E70" s="404"/>
      <c r="F70" s="483">
        <f t="shared" ref="F70:U70" si="32">IF(F53="","",MAX(F47-F69,0))</f>
        <v>0</v>
      </c>
      <c r="G70" s="483">
        <f t="shared" ca="1" si="32"/>
        <v>0</v>
      </c>
      <c r="H70" s="483">
        <f t="shared" ca="1" si="32"/>
        <v>0</v>
      </c>
      <c r="I70" s="483">
        <f t="shared" ca="1" si="32"/>
        <v>0</v>
      </c>
      <c r="J70" s="483">
        <f t="shared" ca="1" si="32"/>
        <v>0</v>
      </c>
      <c r="K70" s="483">
        <f t="shared" ca="1" si="32"/>
        <v>353374.29939780198</v>
      </c>
      <c r="L70" s="483">
        <f t="shared" ca="1" si="32"/>
        <v>93795.578502834542</v>
      </c>
      <c r="M70" s="483">
        <f t="shared" ca="1" si="32"/>
        <v>125672.94286285026</v>
      </c>
      <c r="N70" s="483">
        <f t="shared" ca="1" si="32"/>
        <v>158917.52833099407</v>
      </c>
      <c r="O70" s="483">
        <f t="shared" ca="1" si="32"/>
        <v>193585.86628226633</v>
      </c>
      <c r="P70" s="483">
        <f t="shared" ca="1" si="32"/>
        <v>0</v>
      </c>
      <c r="Q70" s="483" t="str">
        <f t="shared" si="32"/>
        <v/>
      </c>
      <c r="R70" s="483" t="str">
        <f t="shared" si="32"/>
        <v/>
      </c>
      <c r="S70" s="483" t="str">
        <f t="shared" si="32"/>
        <v/>
      </c>
      <c r="T70" s="483" t="str">
        <f t="shared" si="32"/>
        <v/>
      </c>
      <c r="U70" s="483" t="str">
        <f t="shared" si="32"/>
        <v/>
      </c>
    </row>
    <row r="71" spans="2:21" ht="5" customHeight="1" x14ac:dyDescent="0.2">
      <c r="B71" s="404"/>
      <c r="C71" s="404"/>
      <c r="D71" s="404"/>
      <c r="E71" s="404"/>
      <c r="F71" s="405"/>
      <c r="G71" s="405"/>
      <c r="H71" s="405"/>
      <c r="I71" s="405"/>
      <c r="J71" s="405"/>
      <c r="K71" s="405"/>
      <c r="L71" s="405"/>
      <c r="M71" s="405"/>
      <c r="N71" s="405"/>
      <c r="O71" s="405"/>
      <c r="P71" s="405"/>
      <c r="Q71" s="405"/>
      <c r="R71" s="405"/>
      <c r="S71" s="405"/>
      <c r="T71" s="405"/>
      <c r="U71" s="405"/>
    </row>
    <row r="72" spans="2:21" ht="16" x14ac:dyDescent="0.2">
      <c r="B72" s="407" t="s">
        <v>689</v>
      </c>
      <c r="C72" s="404"/>
      <c r="D72" s="404"/>
      <c r="E72" s="404"/>
      <c r="F72" s="405"/>
      <c r="G72" s="405"/>
      <c r="H72" s="405"/>
      <c r="I72" s="405"/>
      <c r="J72" s="405"/>
      <c r="K72" s="405"/>
      <c r="L72" s="405"/>
      <c r="M72" s="405"/>
      <c r="N72" s="405"/>
      <c r="O72" s="405"/>
      <c r="P72" s="405"/>
      <c r="Q72" s="405"/>
      <c r="R72" s="405"/>
      <c r="S72" s="405"/>
      <c r="T72" s="405"/>
      <c r="U72" s="405"/>
    </row>
    <row r="73" spans="2:21" ht="15" x14ac:dyDescent="0.2">
      <c r="B73" s="481" t="s">
        <v>722</v>
      </c>
      <c r="C73" s="482">
        <f>E15</f>
        <v>0.15</v>
      </c>
      <c r="D73" s="428"/>
      <c r="E73" s="428"/>
      <c r="F73" s="429"/>
      <c r="G73" s="429"/>
      <c r="H73" s="429"/>
      <c r="I73" s="429"/>
      <c r="J73" s="429"/>
      <c r="K73" s="429"/>
      <c r="L73" s="429"/>
      <c r="M73" s="429"/>
      <c r="N73" s="429"/>
      <c r="O73" s="429"/>
      <c r="P73" s="429"/>
      <c r="Q73" s="429"/>
      <c r="R73" s="429"/>
      <c r="S73" s="429"/>
      <c r="T73" s="429"/>
      <c r="U73" s="429"/>
    </row>
    <row r="74" spans="2:21" ht="15" x14ac:dyDescent="0.2">
      <c r="B74" s="404" t="s">
        <v>723</v>
      </c>
      <c r="C74" s="404"/>
      <c r="D74" s="404"/>
      <c r="E74" s="404"/>
      <c r="F74" s="483">
        <f t="shared" ref="F74:U74" si="33">IF(F37="","",E79)</f>
        <v>0</v>
      </c>
      <c r="G74" s="483">
        <f t="shared" si="33"/>
        <v>3948199.8213999998</v>
      </c>
      <c r="H74" s="483">
        <f t="shared" ca="1" si="33"/>
        <v>4572204.6347133052</v>
      </c>
      <c r="I74" s="483">
        <f t="shared" ca="1" si="33"/>
        <v>5185725.4549236074</v>
      </c>
      <c r="J74" s="483">
        <f t="shared" ca="1" si="33"/>
        <v>5772106.9528134549</v>
      </c>
      <c r="K74" s="483">
        <f t="shared" ca="1" si="33"/>
        <v>6321240.135177739</v>
      </c>
      <c r="L74" s="483">
        <f t="shared" ca="1" si="33"/>
        <v>2135453.7295774203</v>
      </c>
      <c r="M74" s="483">
        <f t="shared" ca="1" si="33"/>
        <v>2402308.309267418</v>
      </c>
      <c r="N74" s="483">
        <f t="shared" ca="1" si="33"/>
        <v>2691020.9782257061</v>
      </c>
      <c r="O74" s="483">
        <f t="shared" ca="1" si="33"/>
        <v>3004091.1338108955</v>
      </c>
      <c r="P74" s="483">
        <f t="shared" ca="1" si="33"/>
        <v>3344360.8601016384</v>
      </c>
      <c r="Q74" s="483" t="str">
        <f t="shared" si="33"/>
        <v/>
      </c>
      <c r="R74" s="483" t="str">
        <f t="shared" si="33"/>
        <v/>
      </c>
      <c r="S74" s="483" t="str">
        <f t="shared" si="33"/>
        <v/>
      </c>
      <c r="T74" s="483" t="str">
        <f t="shared" si="33"/>
        <v/>
      </c>
      <c r="U74" s="483" t="str">
        <f t="shared" si="33"/>
        <v/>
      </c>
    </row>
    <row r="75" spans="2:21" ht="15" x14ac:dyDescent="0.2">
      <c r="B75" s="404" t="s">
        <v>736</v>
      </c>
      <c r="C75" s="404"/>
      <c r="D75" s="404"/>
      <c r="E75" s="404"/>
      <c r="F75" s="483">
        <f>IF(F74="","",IF($D$4="Equity Multiple",E76*$C73-E76,F74*$C73))</f>
        <v>0</v>
      </c>
      <c r="G75" s="483">
        <f t="shared" ref="G75:U75" si="34">IF(G74="","",IF($D$4="Equity Multiple",F76*$C73-F76,G74*$C73))</f>
        <v>592229.97320999997</v>
      </c>
      <c r="H75" s="483">
        <f t="shared" ca="1" si="34"/>
        <v>685830.6952069957</v>
      </c>
      <c r="I75" s="483">
        <f t="shared" ca="1" si="34"/>
        <v>777858.81823854113</v>
      </c>
      <c r="J75" s="483">
        <f t="shared" ca="1" si="34"/>
        <v>865816.04292201821</v>
      </c>
      <c r="K75" s="483">
        <f t="shared" ca="1" si="34"/>
        <v>948186.0202766608</v>
      </c>
      <c r="L75" s="483">
        <f t="shared" ca="1" si="34"/>
        <v>320318.05943661305</v>
      </c>
      <c r="M75" s="483">
        <f t="shared" ca="1" si="34"/>
        <v>360346.24639011268</v>
      </c>
      <c r="N75" s="483">
        <f t="shared" ca="1" si="34"/>
        <v>403653.14673385589</v>
      </c>
      <c r="O75" s="483">
        <f t="shared" ca="1" si="34"/>
        <v>450613.67007163429</v>
      </c>
      <c r="P75" s="483">
        <f t="shared" ca="1" si="34"/>
        <v>501654.12901524571</v>
      </c>
      <c r="Q75" s="483" t="str">
        <f t="shared" si="34"/>
        <v/>
      </c>
      <c r="R75" s="483" t="str">
        <f t="shared" si="34"/>
        <v/>
      </c>
      <c r="S75" s="483" t="str">
        <f t="shared" si="34"/>
        <v/>
      </c>
      <c r="T75" s="483" t="str">
        <f t="shared" si="34"/>
        <v/>
      </c>
      <c r="U75" s="483" t="str">
        <f t="shared" si="34"/>
        <v/>
      </c>
    </row>
    <row r="76" spans="2:21" ht="15" x14ac:dyDescent="0.2">
      <c r="B76" s="404" t="s">
        <v>726</v>
      </c>
      <c r="C76" s="404"/>
      <c r="D76" s="404"/>
      <c r="E76" s="404"/>
      <c r="F76" s="483">
        <f t="shared" ref="F76:U76" si="35">IF(F74="","",-MIN(0,F$47*Equity_Share_LP))</f>
        <v>3948199.8213999998</v>
      </c>
      <c r="G76" s="483">
        <f t="shared" ca="1" si="35"/>
        <v>31774.840103305971</v>
      </c>
      <c r="H76" s="483">
        <f t="shared" ca="1" si="35"/>
        <v>0</v>
      </c>
      <c r="I76" s="483">
        <f t="shared" ca="1" si="35"/>
        <v>0</v>
      </c>
      <c r="J76" s="483">
        <f t="shared" ca="1" si="35"/>
        <v>0</v>
      </c>
      <c r="K76" s="483">
        <f t="shared" ca="1" si="35"/>
        <v>0</v>
      </c>
      <c r="L76" s="483">
        <f t="shared" ca="1" si="35"/>
        <v>0</v>
      </c>
      <c r="M76" s="483">
        <f t="shared" ca="1" si="35"/>
        <v>0</v>
      </c>
      <c r="N76" s="483">
        <f t="shared" ca="1" si="35"/>
        <v>0</v>
      </c>
      <c r="O76" s="483">
        <f t="shared" ca="1" si="35"/>
        <v>0</v>
      </c>
      <c r="P76" s="483">
        <f t="shared" ca="1" si="35"/>
        <v>157195.77528090676</v>
      </c>
      <c r="Q76" s="483" t="str">
        <f t="shared" si="35"/>
        <v/>
      </c>
      <c r="R76" s="483" t="str">
        <f t="shared" si="35"/>
        <v/>
      </c>
      <c r="S76" s="483" t="str">
        <f t="shared" si="35"/>
        <v/>
      </c>
      <c r="T76" s="483" t="str">
        <f t="shared" si="35"/>
        <v/>
      </c>
      <c r="U76" s="483" t="str">
        <f t="shared" si="35"/>
        <v/>
      </c>
    </row>
    <row r="77" spans="2:21" ht="15" x14ac:dyDescent="0.2">
      <c r="B77" s="404" t="s">
        <v>737</v>
      </c>
      <c r="C77" s="404"/>
      <c r="D77" s="404"/>
      <c r="E77" s="404"/>
      <c r="F77" s="483">
        <f t="shared" ref="F77:U77" si="36">F60</f>
        <v>0</v>
      </c>
      <c r="G77" s="483">
        <f t="shared" ca="1" si="36"/>
        <v>0</v>
      </c>
      <c r="H77" s="483">
        <f t="shared" ca="1" si="36"/>
        <v>72309.874996693979</v>
      </c>
      <c r="I77" s="483">
        <f t="shared" ca="1" si="36"/>
        <v>191477.32034869399</v>
      </c>
      <c r="J77" s="483">
        <f t="shared" ca="1" si="36"/>
        <v>316682.86055773392</v>
      </c>
      <c r="K77" s="483">
        <f t="shared" ca="1" si="36"/>
        <v>4932549.0752202328</v>
      </c>
      <c r="L77" s="483">
        <f t="shared" ca="1" si="36"/>
        <v>0</v>
      </c>
      <c r="M77" s="483">
        <f t="shared" ca="1" si="36"/>
        <v>0</v>
      </c>
      <c r="N77" s="483">
        <f t="shared" ca="1" si="36"/>
        <v>0</v>
      </c>
      <c r="O77" s="483">
        <f t="shared" ca="1" si="36"/>
        <v>0</v>
      </c>
      <c r="P77" s="483">
        <f t="shared" ca="1" si="36"/>
        <v>0</v>
      </c>
      <c r="Q77" s="483" t="str">
        <f t="shared" si="36"/>
        <v/>
      </c>
      <c r="R77" s="483" t="str">
        <f t="shared" si="36"/>
        <v/>
      </c>
      <c r="S77" s="483" t="str">
        <f t="shared" si="36"/>
        <v/>
      </c>
      <c r="T77" s="483" t="str">
        <f t="shared" si="36"/>
        <v/>
      </c>
      <c r="U77" s="483" t="str">
        <f t="shared" si="36"/>
        <v/>
      </c>
    </row>
    <row r="78" spans="2:21" ht="15" x14ac:dyDescent="0.2">
      <c r="B78" s="404" t="str">
        <f>"Distributions to LP "&amp;B72</f>
        <v>Distributions to LP Hurdle 2</v>
      </c>
      <c r="C78" s="404"/>
      <c r="D78" s="404"/>
      <c r="E78" s="404"/>
      <c r="F78" s="483">
        <f t="shared" ref="F78:U78" si="37">IF(F74="","",MIN(F74+F75-F77,F70*$I$15))</f>
        <v>0</v>
      </c>
      <c r="G78" s="483">
        <f t="shared" ca="1" si="37"/>
        <v>0</v>
      </c>
      <c r="H78" s="483">
        <f t="shared" ca="1" si="37"/>
        <v>0</v>
      </c>
      <c r="I78" s="483">
        <f t="shared" ca="1" si="37"/>
        <v>0</v>
      </c>
      <c r="J78" s="483">
        <f t="shared" ca="1" si="37"/>
        <v>0</v>
      </c>
      <c r="K78" s="483">
        <f t="shared" ca="1" si="37"/>
        <v>201423.35065674712</v>
      </c>
      <c r="L78" s="483">
        <f t="shared" ca="1" si="37"/>
        <v>53463.479746615682</v>
      </c>
      <c r="M78" s="483">
        <f t="shared" ca="1" si="37"/>
        <v>71633.57743182464</v>
      </c>
      <c r="N78" s="483">
        <f t="shared" ca="1" si="37"/>
        <v>90582.99114866661</v>
      </c>
      <c r="O78" s="483">
        <f t="shared" ca="1" si="37"/>
        <v>110343.9437808918</v>
      </c>
      <c r="P78" s="483">
        <f t="shared" ca="1" si="37"/>
        <v>0</v>
      </c>
      <c r="Q78" s="483" t="str">
        <f t="shared" si="37"/>
        <v/>
      </c>
      <c r="R78" s="483" t="str">
        <f t="shared" si="37"/>
        <v/>
      </c>
      <c r="S78" s="483" t="str">
        <f t="shared" si="37"/>
        <v/>
      </c>
      <c r="T78" s="483" t="str">
        <f t="shared" si="37"/>
        <v/>
      </c>
      <c r="U78" s="483" t="str">
        <f t="shared" si="37"/>
        <v/>
      </c>
    </row>
    <row r="79" spans="2:21" ht="15" x14ac:dyDescent="0.2">
      <c r="B79" s="404" t="s">
        <v>728</v>
      </c>
      <c r="C79" s="404"/>
      <c r="D79" s="404"/>
      <c r="E79" s="404"/>
      <c r="F79" s="483">
        <f>F74+F76-F78</f>
        <v>3948199.8213999998</v>
      </c>
      <c r="G79" s="483">
        <f t="shared" ref="G79:U79" ca="1" si="38">IF(G74="","",G74+G75+G76-G77-G78)</f>
        <v>4572204.6347133052</v>
      </c>
      <c r="H79" s="483">
        <f t="shared" ca="1" si="38"/>
        <v>5185725.4549236074</v>
      </c>
      <c r="I79" s="483">
        <f t="shared" ca="1" si="38"/>
        <v>5772106.9528134549</v>
      </c>
      <c r="J79" s="483">
        <f t="shared" ca="1" si="38"/>
        <v>6321240.135177739</v>
      </c>
      <c r="K79" s="483">
        <f t="shared" ca="1" si="38"/>
        <v>2135453.7295774203</v>
      </c>
      <c r="L79" s="483">
        <f t="shared" ca="1" si="38"/>
        <v>2402308.309267418</v>
      </c>
      <c r="M79" s="483">
        <f t="shared" ca="1" si="38"/>
        <v>2691020.9782257061</v>
      </c>
      <c r="N79" s="483">
        <f t="shared" ca="1" si="38"/>
        <v>3004091.1338108955</v>
      </c>
      <c r="O79" s="483">
        <f t="shared" ca="1" si="38"/>
        <v>3344360.8601016384</v>
      </c>
      <c r="P79" s="483">
        <f t="shared" ca="1" si="38"/>
        <v>4003210.7643977907</v>
      </c>
      <c r="Q79" s="483" t="str">
        <f t="shared" si="38"/>
        <v/>
      </c>
      <c r="R79" s="483" t="str">
        <f t="shared" si="38"/>
        <v/>
      </c>
      <c r="S79" s="483" t="str">
        <f t="shared" si="38"/>
        <v/>
      </c>
      <c r="T79" s="483" t="str">
        <f t="shared" si="38"/>
        <v/>
      </c>
      <c r="U79" s="483" t="str">
        <f t="shared" si="38"/>
        <v/>
      </c>
    </row>
    <row r="80" spans="2:21" ht="15" x14ac:dyDescent="0.2">
      <c r="B80" s="487">
        <f>C73</f>
        <v>0.15</v>
      </c>
      <c r="C80" s="404"/>
      <c r="D80" s="404"/>
      <c r="E80" s="486">
        <f ca="1">IF($D$4="IRR",IRR(F80:U80),SUMIF(F80:U80,"&gt;0")/-SUMIF(F80:U80,"&lt;0"))</f>
        <v>8.3900097208777114E-2</v>
      </c>
      <c r="F80" s="483">
        <f>IF(F74="","",-F76+F78)</f>
        <v>-3948199.8213999998</v>
      </c>
      <c r="G80" s="483">
        <f t="shared" ref="G80:U80" ca="1" si="39">IF(G74="","",-G76+G77+G78)</f>
        <v>-31774.840103305971</v>
      </c>
      <c r="H80" s="483">
        <f t="shared" ca="1" si="39"/>
        <v>72309.874996693979</v>
      </c>
      <c r="I80" s="483">
        <f t="shared" ca="1" si="39"/>
        <v>191477.32034869399</v>
      </c>
      <c r="J80" s="483">
        <f t="shared" ca="1" si="39"/>
        <v>316682.86055773392</v>
      </c>
      <c r="K80" s="483">
        <f t="shared" ca="1" si="39"/>
        <v>5133972.4258769797</v>
      </c>
      <c r="L80" s="483">
        <f t="shared" ca="1" si="39"/>
        <v>53463.479746615682</v>
      </c>
      <c r="M80" s="483">
        <f t="shared" ca="1" si="39"/>
        <v>71633.57743182464</v>
      </c>
      <c r="N80" s="483">
        <f t="shared" ca="1" si="39"/>
        <v>90582.99114866661</v>
      </c>
      <c r="O80" s="483">
        <f t="shared" ca="1" si="39"/>
        <v>110343.9437808918</v>
      </c>
      <c r="P80" s="483">
        <f t="shared" ca="1" si="39"/>
        <v>-157195.77528090676</v>
      </c>
      <c r="Q80" s="483" t="str">
        <f t="shared" si="39"/>
        <v/>
      </c>
      <c r="R80" s="483" t="str">
        <f t="shared" si="39"/>
        <v/>
      </c>
      <c r="S80" s="483" t="str">
        <f t="shared" si="39"/>
        <v/>
      </c>
      <c r="T80" s="483" t="str">
        <f t="shared" si="39"/>
        <v/>
      </c>
      <c r="U80" s="483" t="str">
        <f t="shared" si="39"/>
        <v/>
      </c>
    </row>
    <row r="81" spans="2:21" ht="5" customHeight="1" x14ac:dyDescent="0.2">
      <c r="B81" s="392" t="s">
        <v>738</v>
      </c>
      <c r="C81" s="392" t="s">
        <v>738</v>
      </c>
      <c r="D81" s="392" t="s">
        <v>738</v>
      </c>
      <c r="E81" s="392" t="s">
        <v>738</v>
      </c>
      <c r="F81" s="488" t="str">
        <f t="shared" ref="F81:U81" si="40">IF(F74="","",".")</f>
        <v>.</v>
      </c>
      <c r="G81" s="488" t="str">
        <f t="shared" si="40"/>
        <v>.</v>
      </c>
      <c r="H81" s="488" t="str">
        <f t="shared" ca="1" si="40"/>
        <v>.</v>
      </c>
      <c r="I81" s="488" t="str">
        <f t="shared" ca="1" si="40"/>
        <v>.</v>
      </c>
      <c r="J81" s="488" t="str">
        <f t="shared" ca="1" si="40"/>
        <v>.</v>
      </c>
      <c r="K81" s="488" t="str">
        <f t="shared" ca="1" si="40"/>
        <v>.</v>
      </c>
      <c r="L81" s="488" t="str">
        <f t="shared" ca="1" si="40"/>
        <v>.</v>
      </c>
      <c r="M81" s="488" t="str">
        <f t="shared" ca="1" si="40"/>
        <v>.</v>
      </c>
      <c r="N81" s="488" t="str">
        <f t="shared" ca="1" si="40"/>
        <v>.</v>
      </c>
      <c r="O81" s="488" t="str">
        <f t="shared" ca="1" si="40"/>
        <v>.</v>
      </c>
      <c r="P81" s="488" t="str">
        <f t="shared" ca="1" si="40"/>
        <v>.</v>
      </c>
      <c r="Q81" s="488" t="str">
        <f t="shared" si="40"/>
        <v/>
      </c>
      <c r="R81" s="488" t="str">
        <f t="shared" si="40"/>
        <v/>
      </c>
      <c r="S81" s="488" t="str">
        <f t="shared" si="40"/>
        <v/>
      </c>
      <c r="T81" s="488" t="str">
        <f t="shared" si="40"/>
        <v/>
      </c>
      <c r="U81" s="488" t="str">
        <f t="shared" si="40"/>
        <v/>
      </c>
    </row>
    <row r="82" spans="2:21" ht="15" x14ac:dyDescent="0.2">
      <c r="B82" s="404" t="s">
        <v>729</v>
      </c>
      <c r="C82" s="404"/>
      <c r="D82" s="404"/>
      <c r="E82" s="404"/>
      <c r="F82" s="483">
        <f t="shared" ref="F82:U82" si="41">IF(F74="","",F78)</f>
        <v>0</v>
      </c>
      <c r="G82" s="483">
        <f t="shared" ca="1" si="41"/>
        <v>0</v>
      </c>
      <c r="H82" s="483">
        <f t="shared" ca="1" si="41"/>
        <v>0</v>
      </c>
      <c r="I82" s="483">
        <f t="shared" ca="1" si="41"/>
        <v>0</v>
      </c>
      <c r="J82" s="483">
        <f t="shared" ca="1" si="41"/>
        <v>0</v>
      </c>
      <c r="K82" s="483">
        <f t="shared" ca="1" si="41"/>
        <v>201423.35065674712</v>
      </c>
      <c r="L82" s="483">
        <f t="shared" ca="1" si="41"/>
        <v>53463.479746615682</v>
      </c>
      <c r="M82" s="483">
        <f t="shared" ca="1" si="41"/>
        <v>71633.57743182464</v>
      </c>
      <c r="N82" s="483">
        <f t="shared" ca="1" si="41"/>
        <v>90582.99114866661</v>
      </c>
      <c r="O82" s="483">
        <f t="shared" ca="1" si="41"/>
        <v>110343.9437808918</v>
      </c>
      <c r="P82" s="483">
        <f t="shared" ca="1" si="41"/>
        <v>0</v>
      </c>
      <c r="Q82" s="483" t="str">
        <f t="shared" si="41"/>
        <v/>
      </c>
      <c r="R82" s="483" t="str">
        <f t="shared" si="41"/>
        <v/>
      </c>
      <c r="S82" s="483" t="str">
        <f t="shared" si="41"/>
        <v/>
      </c>
      <c r="T82" s="483" t="str">
        <f t="shared" si="41"/>
        <v/>
      </c>
      <c r="U82" s="483" t="str">
        <f t="shared" si="41"/>
        <v/>
      </c>
    </row>
    <row r="83" spans="2:21" ht="15" x14ac:dyDescent="0.2">
      <c r="B83" s="404" t="s">
        <v>733</v>
      </c>
      <c r="C83" s="404"/>
      <c r="D83" s="404"/>
      <c r="E83" s="404"/>
      <c r="F83" s="483">
        <f>IF(F74="","",F82/$I$15*$H$15)</f>
        <v>0</v>
      </c>
      <c r="G83" s="483">
        <f t="shared" ref="G83:U83" ca="1" si="42">IF(G74="","",G82/$I$15*$H$15)</f>
        <v>0</v>
      </c>
      <c r="H83" s="483">
        <f t="shared" ca="1" si="42"/>
        <v>0</v>
      </c>
      <c r="I83" s="483">
        <f t="shared" ca="1" si="42"/>
        <v>0</v>
      </c>
      <c r="J83" s="483">
        <f t="shared" ca="1" si="42"/>
        <v>0</v>
      </c>
      <c r="K83" s="483">
        <f t="shared" ca="1" si="42"/>
        <v>151950.94874105486</v>
      </c>
      <c r="L83" s="483">
        <f t="shared" ca="1" si="42"/>
        <v>40332.09875621886</v>
      </c>
      <c r="M83" s="483">
        <f t="shared" ca="1" si="42"/>
        <v>54039.365431025617</v>
      </c>
      <c r="N83" s="483">
        <f t="shared" ca="1" si="42"/>
        <v>68334.537182327462</v>
      </c>
      <c r="O83" s="483">
        <f t="shared" ca="1" si="42"/>
        <v>83241.922501374531</v>
      </c>
      <c r="P83" s="483">
        <f t="shared" ca="1" si="42"/>
        <v>0</v>
      </c>
      <c r="Q83" s="483" t="str">
        <f t="shared" si="42"/>
        <v/>
      </c>
      <c r="R83" s="483" t="str">
        <f t="shared" si="42"/>
        <v/>
      </c>
      <c r="S83" s="483" t="str">
        <f t="shared" si="42"/>
        <v/>
      </c>
      <c r="T83" s="483" t="str">
        <f t="shared" si="42"/>
        <v/>
      </c>
      <c r="U83" s="483" t="str">
        <f t="shared" si="42"/>
        <v/>
      </c>
    </row>
    <row r="84" spans="2:21" ht="15" x14ac:dyDescent="0.2">
      <c r="B84" s="404" t="str">
        <f>"Total Distributions ("&amp;B72&amp;")"</f>
        <v>Total Distributions (Hurdle 2)</v>
      </c>
      <c r="C84" s="404"/>
      <c r="D84" s="404"/>
      <c r="E84" s="404"/>
      <c r="F84" s="483">
        <f t="shared" ref="F84:U84" si="43">IF(F74="","",F82+F83)</f>
        <v>0</v>
      </c>
      <c r="G84" s="483">
        <f t="shared" ca="1" si="43"/>
        <v>0</v>
      </c>
      <c r="H84" s="483">
        <f t="shared" ca="1" si="43"/>
        <v>0</v>
      </c>
      <c r="I84" s="483">
        <f t="shared" ca="1" si="43"/>
        <v>0</v>
      </c>
      <c r="J84" s="483">
        <f t="shared" ca="1" si="43"/>
        <v>0</v>
      </c>
      <c r="K84" s="483">
        <f t="shared" ca="1" si="43"/>
        <v>353374.29939780198</v>
      </c>
      <c r="L84" s="483">
        <f t="shared" ca="1" si="43"/>
        <v>93795.578502834542</v>
      </c>
      <c r="M84" s="483">
        <f t="shared" ca="1" si="43"/>
        <v>125672.94286285026</v>
      </c>
      <c r="N84" s="483">
        <f t="shared" ca="1" si="43"/>
        <v>158917.52833099407</v>
      </c>
      <c r="O84" s="483">
        <f t="shared" ca="1" si="43"/>
        <v>193585.86628226633</v>
      </c>
      <c r="P84" s="483">
        <f t="shared" ca="1" si="43"/>
        <v>0</v>
      </c>
      <c r="Q84" s="483" t="str">
        <f t="shared" si="43"/>
        <v/>
      </c>
      <c r="R84" s="483" t="str">
        <f t="shared" si="43"/>
        <v/>
      </c>
      <c r="S84" s="483" t="str">
        <f t="shared" si="43"/>
        <v/>
      </c>
      <c r="T84" s="483" t="str">
        <f t="shared" si="43"/>
        <v/>
      </c>
      <c r="U84" s="483" t="str">
        <f t="shared" si="43"/>
        <v/>
      </c>
    </row>
    <row r="85" spans="2:21" ht="15" x14ac:dyDescent="0.2">
      <c r="B85" s="404" t="s">
        <v>735</v>
      </c>
      <c r="C85" s="404"/>
      <c r="D85" s="404"/>
      <c r="E85" s="404"/>
      <c r="F85" s="483">
        <f t="shared" ref="F85:U85" si="44">IF(F74="","",MAX(F$47-F69-F84,0))</f>
        <v>0</v>
      </c>
      <c r="G85" s="483">
        <f t="shared" ca="1" si="44"/>
        <v>0</v>
      </c>
      <c r="H85" s="483">
        <f t="shared" ca="1" si="44"/>
        <v>0</v>
      </c>
      <c r="I85" s="483">
        <f t="shared" ca="1" si="44"/>
        <v>0</v>
      </c>
      <c r="J85" s="483">
        <f t="shared" ca="1" si="44"/>
        <v>0</v>
      </c>
      <c r="K85" s="483">
        <f t="shared" ca="1" si="44"/>
        <v>0</v>
      </c>
      <c r="L85" s="483">
        <f t="shared" ca="1" si="44"/>
        <v>0</v>
      </c>
      <c r="M85" s="483">
        <f t="shared" ca="1" si="44"/>
        <v>0</v>
      </c>
      <c r="N85" s="483">
        <f t="shared" ca="1" si="44"/>
        <v>0</v>
      </c>
      <c r="O85" s="483">
        <f t="shared" ca="1" si="44"/>
        <v>0</v>
      </c>
      <c r="P85" s="483">
        <f t="shared" ca="1" si="44"/>
        <v>0</v>
      </c>
      <c r="Q85" s="483" t="str">
        <f t="shared" si="44"/>
        <v/>
      </c>
      <c r="R85" s="483" t="str">
        <f t="shared" si="44"/>
        <v/>
      </c>
      <c r="S85" s="483" t="str">
        <f t="shared" si="44"/>
        <v/>
      </c>
      <c r="T85" s="483" t="str">
        <f t="shared" si="44"/>
        <v/>
      </c>
      <c r="U85" s="483" t="str">
        <f t="shared" si="44"/>
        <v/>
      </c>
    </row>
    <row r="86" spans="2:21" ht="5" customHeight="1" x14ac:dyDescent="0.2">
      <c r="B86" s="404"/>
      <c r="C86" s="404"/>
      <c r="D86" s="404"/>
      <c r="E86" s="404"/>
      <c r="F86" s="405"/>
      <c r="G86" s="405"/>
      <c r="H86" s="405"/>
      <c r="I86" s="405"/>
      <c r="J86" s="405"/>
      <c r="K86" s="405"/>
      <c r="L86" s="405"/>
      <c r="M86" s="405"/>
      <c r="N86" s="405"/>
      <c r="O86" s="405"/>
      <c r="P86" s="405"/>
      <c r="Q86" s="405"/>
      <c r="R86" s="405"/>
      <c r="S86" s="405"/>
      <c r="T86" s="405"/>
      <c r="U86" s="405"/>
    </row>
    <row r="87" spans="2:21" ht="16" x14ac:dyDescent="0.2">
      <c r="B87" s="407" t="s">
        <v>690</v>
      </c>
      <c r="C87" s="404"/>
      <c r="D87" s="404"/>
      <c r="E87" s="404"/>
      <c r="F87" s="405"/>
      <c r="G87" s="405"/>
      <c r="H87" s="405"/>
      <c r="I87" s="405"/>
      <c r="J87" s="405"/>
      <c r="K87" s="405"/>
      <c r="L87" s="405"/>
      <c r="M87" s="405"/>
      <c r="N87" s="405"/>
      <c r="O87" s="405"/>
      <c r="P87" s="405"/>
      <c r="Q87" s="405"/>
      <c r="R87" s="405"/>
      <c r="S87" s="405"/>
      <c r="T87" s="405"/>
      <c r="U87" s="405"/>
    </row>
    <row r="88" spans="2:21" ht="15" x14ac:dyDescent="0.2">
      <c r="B88" s="481" t="s">
        <v>722</v>
      </c>
      <c r="C88" s="482">
        <f>E16</f>
        <v>0.99</v>
      </c>
      <c r="D88" s="428"/>
      <c r="E88" s="428"/>
      <c r="F88" s="429"/>
      <c r="G88" s="429"/>
      <c r="H88" s="429"/>
      <c r="I88" s="429"/>
      <c r="J88" s="429"/>
      <c r="K88" s="429"/>
      <c r="L88" s="429"/>
      <c r="M88" s="429"/>
      <c r="N88" s="429"/>
      <c r="O88" s="429"/>
      <c r="P88" s="429"/>
      <c r="Q88" s="429"/>
      <c r="R88" s="429"/>
      <c r="S88" s="429"/>
      <c r="T88" s="429"/>
      <c r="U88" s="429"/>
    </row>
    <row r="89" spans="2:21" ht="15" x14ac:dyDescent="0.2">
      <c r="B89" s="404" t="s">
        <v>723</v>
      </c>
      <c r="C89" s="404"/>
      <c r="D89" s="404"/>
      <c r="E89" s="404"/>
      <c r="F89" s="483">
        <f t="shared" ref="F89:U89" si="45">IF(F65="","",E94)</f>
        <v>0</v>
      </c>
      <c r="G89" s="483">
        <f t="shared" ca="1" si="45"/>
        <v>3948199.8213999998</v>
      </c>
      <c r="H89" s="483">
        <f t="shared" ca="1" si="45"/>
        <v>7888692.4846893055</v>
      </c>
      <c r="I89" s="483">
        <f t="shared" ca="1" si="45"/>
        <v>15626188.169535024</v>
      </c>
      <c r="J89" s="483">
        <f t="shared" ca="1" si="45"/>
        <v>30904637.137026004</v>
      </c>
      <c r="K89" s="483">
        <f t="shared" ca="1" si="45"/>
        <v>61183545.042124018</v>
      </c>
      <c r="L89" s="483">
        <f t="shared" ca="1" si="45"/>
        <v>116621282.20794982</v>
      </c>
      <c r="M89" s="483">
        <f t="shared" ca="1" si="45"/>
        <v>232022888.11407354</v>
      </c>
      <c r="N89" s="483">
        <f t="shared" ca="1" si="45"/>
        <v>461653913.76957452</v>
      </c>
      <c r="O89" s="483">
        <f t="shared" ca="1" si="45"/>
        <v>918600705.41030455</v>
      </c>
      <c r="P89" s="483">
        <f t="shared" ca="1" si="45"/>
        <v>1827905059.8227253</v>
      </c>
      <c r="Q89" s="483" t="str">
        <f t="shared" si="45"/>
        <v/>
      </c>
      <c r="R89" s="483" t="str">
        <f t="shared" si="45"/>
        <v/>
      </c>
      <c r="S89" s="483" t="str">
        <f t="shared" si="45"/>
        <v/>
      </c>
      <c r="T89" s="483" t="str">
        <f t="shared" si="45"/>
        <v/>
      </c>
      <c r="U89" s="483" t="str">
        <f t="shared" si="45"/>
        <v/>
      </c>
    </row>
    <row r="90" spans="2:21" ht="15" x14ac:dyDescent="0.2">
      <c r="B90" s="404" t="s">
        <v>739</v>
      </c>
      <c r="C90" s="404"/>
      <c r="D90" s="404"/>
      <c r="E90" s="404"/>
      <c r="F90" s="483">
        <f>IF(F89="","",IF($D$4="Equity Multiple",E91*$C88-E91,F89*$C88))</f>
        <v>0</v>
      </c>
      <c r="G90" s="483">
        <f t="shared" ref="G90:U90" ca="1" si="46">IF(G89="","",IF($D$4="Equity Multiple",F91*$C88-F91,G89*$C88))</f>
        <v>3908717.8231859999</v>
      </c>
      <c r="H90" s="483">
        <f t="shared" ca="1" si="46"/>
        <v>7809805.5598424124</v>
      </c>
      <c r="I90" s="483">
        <f t="shared" ca="1" si="46"/>
        <v>15469926.287839673</v>
      </c>
      <c r="J90" s="483">
        <f t="shared" ca="1" si="46"/>
        <v>30595590.765655745</v>
      </c>
      <c r="K90" s="483">
        <f t="shared" ca="1" si="46"/>
        <v>60571709.591702774</v>
      </c>
      <c r="L90" s="483">
        <f t="shared" ca="1" si="46"/>
        <v>115455069.38587032</v>
      </c>
      <c r="M90" s="483">
        <f t="shared" ca="1" si="46"/>
        <v>229702659.23293281</v>
      </c>
      <c r="N90" s="483">
        <f t="shared" ca="1" si="46"/>
        <v>457037374.63187879</v>
      </c>
      <c r="O90" s="483">
        <f t="shared" ca="1" si="46"/>
        <v>909414698.35620153</v>
      </c>
      <c r="P90" s="483">
        <f t="shared" ca="1" si="46"/>
        <v>1809626009.224498</v>
      </c>
      <c r="Q90" s="483" t="str">
        <f t="shared" si="46"/>
        <v/>
      </c>
      <c r="R90" s="483" t="str">
        <f t="shared" si="46"/>
        <v/>
      </c>
      <c r="S90" s="483" t="str">
        <f t="shared" si="46"/>
        <v/>
      </c>
      <c r="T90" s="483" t="str">
        <f t="shared" si="46"/>
        <v/>
      </c>
      <c r="U90" s="483" t="str">
        <f t="shared" si="46"/>
        <v/>
      </c>
    </row>
    <row r="91" spans="2:21" ht="15" x14ac:dyDescent="0.2">
      <c r="B91" s="404" t="s">
        <v>726</v>
      </c>
      <c r="C91" s="404"/>
      <c r="D91" s="404"/>
      <c r="E91" s="404"/>
      <c r="F91" s="483">
        <f t="shared" ref="F91:U91" si="47">IF(F89="","",-MIN(0,F$47*Equity_Share_LP))</f>
        <v>3948199.8213999998</v>
      </c>
      <c r="G91" s="483">
        <f t="shared" ca="1" si="47"/>
        <v>31774.840103305971</v>
      </c>
      <c r="H91" s="483">
        <f t="shared" ca="1" si="47"/>
        <v>0</v>
      </c>
      <c r="I91" s="483">
        <f t="shared" ca="1" si="47"/>
        <v>0</v>
      </c>
      <c r="J91" s="483">
        <f t="shared" ca="1" si="47"/>
        <v>0</v>
      </c>
      <c r="K91" s="483">
        <f t="shared" ca="1" si="47"/>
        <v>0</v>
      </c>
      <c r="L91" s="483">
        <f t="shared" ca="1" si="47"/>
        <v>0</v>
      </c>
      <c r="M91" s="483">
        <f t="shared" ca="1" si="47"/>
        <v>0</v>
      </c>
      <c r="N91" s="483">
        <f t="shared" ca="1" si="47"/>
        <v>0</v>
      </c>
      <c r="O91" s="483">
        <f t="shared" ca="1" si="47"/>
        <v>0</v>
      </c>
      <c r="P91" s="483">
        <f t="shared" ca="1" si="47"/>
        <v>157195.77528090676</v>
      </c>
      <c r="Q91" s="483" t="str">
        <f t="shared" si="47"/>
        <v/>
      </c>
      <c r="R91" s="483" t="str">
        <f t="shared" si="47"/>
        <v/>
      </c>
      <c r="S91" s="483" t="str">
        <f t="shared" si="47"/>
        <v/>
      </c>
      <c r="T91" s="483" t="str">
        <f t="shared" si="47"/>
        <v/>
      </c>
      <c r="U91" s="483" t="str">
        <f t="shared" si="47"/>
        <v/>
      </c>
    </row>
    <row r="92" spans="2:21" ht="15" x14ac:dyDescent="0.2">
      <c r="B92" s="404" t="s">
        <v>737</v>
      </c>
      <c r="C92" s="404"/>
      <c r="D92" s="404"/>
      <c r="E92" s="404"/>
      <c r="F92" s="483">
        <f t="shared" ref="F92:U92" si="48">IF(F89="","",F82+F60)</f>
        <v>0</v>
      </c>
      <c r="G92" s="483">
        <f t="shared" ca="1" si="48"/>
        <v>0</v>
      </c>
      <c r="H92" s="483">
        <f t="shared" ca="1" si="48"/>
        <v>72309.874996693979</v>
      </c>
      <c r="I92" s="483">
        <f t="shared" ca="1" si="48"/>
        <v>191477.32034869399</v>
      </c>
      <c r="J92" s="483">
        <f t="shared" ca="1" si="48"/>
        <v>316682.86055773392</v>
      </c>
      <c r="K92" s="483">
        <f t="shared" ca="1" si="48"/>
        <v>5133972.4258769797</v>
      </c>
      <c r="L92" s="483">
        <f t="shared" ca="1" si="48"/>
        <v>53463.479746615682</v>
      </c>
      <c r="M92" s="483">
        <f t="shared" ca="1" si="48"/>
        <v>71633.57743182464</v>
      </c>
      <c r="N92" s="483">
        <f t="shared" ca="1" si="48"/>
        <v>90582.99114866661</v>
      </c>
      <c r="O92" s="483">
        <f t="shared" ca="1" si="48"/>
        <v>110343.9437808918</v>
      </c>
      <c r="P92" s="483">
        <f t="shared" ca="1" si="48"/>
        <v>0</v>
      </c>
      <c r="Q92" s="483" t="str">
        <f t="shared" si="48"/>
        <v/>
      </c>
      <c r="R92" s="483" t="str">
        <f t="shared" si="48"/>
        <v/>
      </c>
      <c r="S92" s="483" t="str">
        <f t="shared" si="48"/>
        <v/>
      </c>
      <c r="T92" s="483" t="str">
        <f t="shared" si="48"/>
        <v/>
      </c>
      <c r="U92" s="483" t="str">
        <f t="shared" si="48"/>
        <v/>
      </c>
    </row>
    <row r="93" spans="2:21" ht="15" x14ac:dyDescent="0.2">
      <c r="B93" s="404" t="str">
        <f>"Distributions to LP "&amp;B87</f>
        <v>Distributions to LP Hurdle 3</v>
      </c>
      <c r="C93" s="404"/>
      <c r="D93" s="404"/>
      <c r="E93" s="404"/>
      <c r="F93" s="483">
        <f t="shared" ref="F93:U93" si="49">IF(F89="","",MIN(F89+F90-F92,F85*$I$16))</f>
        <v>0</v>
      </c>
      <c r="G93" s="483">
        <f t="shared" ca="1" si="49"/>
        <v>0</v>
      </c>
      <c r="H93" s="483">
        <f t="shared" ca="1" si="49"/>
        <v>0</v>
      </c>
      <c r="I93" s="483">
        <f t="shared" ca="1" si="49"/>
        <v>0</v>
      </c>
      <c r="J93" s="483">
        <f t="shared" ca="1" si="49"/>
        <v>0</v>
      </c>
      <c r="K93" s="483">
        <f t="shared" ca="1" si="49"/>
        <v>0</v>
      </c>
      <c r="L93" s="483">
        <f t="shared" ca="1" si="49"/>
        <v>0</v>
      </c>
      <c r="M93" s="483">
        <f t="shared" ca="1" si="49"/>
        <v>0</v>
      </c>
      <c r="N93" s="483">
        <f t="shared" ca="1" si="49"/>
        <v>0</v>
      </c>
      <c r="O93" s="483">
        <f t="shared" ca="1" si="49"/>
        <v>0</v>
      </c>
      <c r="P93" s="483">
        <f t="shared" ca="1" si="49"/>
        <v>0</v>
      </c>
      <c r="Q93" s="483" t="str">
        <f t="shared" si="49"/>
        <v/>
      </c>
      <c r="R93" s="483" t="str">
        <f t="shared" si="49"/>
        <v/>
      </c>
      <c r="S93" s="483" t="str">
        <f t="shared" si="49"/>
        <v/>
      </c>
      <c r="T93" s="483" t="str">
        <f t="shared" si="49"/>
        <v/>
      </c>
      <c r="U93" s="483" t="str">
        <f t="shared" si="49"/>
        <v/>
      </c>
    </row>
    <row r="94" spans="2:21" ht="15" x14ac:dyDescent="0.2">
      <c r="B94" s="404" t="s">
        <v>728</v>
      </c>
      <c r="C94" s="404"/>
      <c r="D94" s="404"/>
      <c r="E94" s="404"/>
      <c r="F94" s="483">
        <f>F89+F91-F93</f>
        <v>3948199.8213999998</v>
      </c>
      <c r="G94" s="483">
        <f t="shared" ref="G94:U94" ca="1" si="50">IF(G89="","",G89+G90+G91-G92-G93)</f>
        <v>7888692.4846893055</v>
      </c>
      <c r="H94" s="483">
        <f t="shared" ca="1" si="50"/>
        <v>15626188.169535024</v>
      </c>
      <c r="I94" s="483">
        <f t="shared" ca="1" si="50"/>
        <v>30904637.137026004</v>
      </c>
      <c r="J94" s="483">
        <f t="shared" ca="1" si="50"/>
        <v>61183545.042124018</v>
      </c>
      <c r="K94" s="483">
        <f t="shared" ca="1" si="50"/>
        <v>116621282.20794982</v>
      </c>
      <c r="L94" s="483">
        <f t="shared" ca="1" si="50"/>
        <v>232022888.11407354</v>
      </c>
      <c r="M94" s="483">
        <f t="shared" ca="1" si="50"/>
        <v>461653913.76957452</v>
      </c>
      <c r="N94" s="483">
        <f t="shared" ca="1" si="50"/>
        <v>918600705.41030455</v>
      </c>
      <c r="O94" s="483">
        <f t="shared" ca="1" si="50"/>
        <v>1827905059.8227253</v>
      </c>
      <c r="P94" s="483">
        <f t="shared" ca="1" si="50"/>
        <v>3637688264.822504</v>
      </c>
      <c r="Q94" s="483" t="str">
        <f t="shared" si="50"/>
        <v/>
      </c>
      <c r="R94" s="483" t="str">
        <f t="shared" si="50"/>
        <v/>
      </c>
      <c r="S94" s="483" t="str">
        <f t="shared" si="50"/>
        <v/>
      </c>
      <c r="T94" s="483" t="str">
        <f t="shared" si="50"/>
        <v/>
      </c>
      <c r="U94" s="483" t="str">
        <f t="shared" si="50"/>
        <v/>
      </c>
    </row>
    <row r="95" spans="2:21" ht="15" x14ac:dyDescent="0.2">
      <c r="B95" s="487">
        <f>C88</f>
        <v>0.99</v>
      </c>
      <c r="C95" s="404"/>
      <c r="D95" s="404"/>
      <c r="E95" s="486">
        <f ca="1">IF($D$4="IRR",IRR(F95:U95),SUMIF(F95:U95,"&gt;0")/-SUMIF(F95:U95,"&lt;0"))</f>
        <v>8.3900097208777114E-2</v>
      </c>
      <c r="F95" s="483">
        <f>IF(F89="","",-F91+F93)</f>
        <v>-3948199.8213999998</v>
      </c>
      <c r="G95" s="483">
        <f t="shared" ref="G95:U95" ca="1" si="51">IF(G89="","",-G91+G92+G93)</f>
        <v>-31774.840103305971</v>
      </c>
      <c r="H95" s="483">
        <f t="shared" ca="1" si="51"/>
        <v>72309.874996693979</v>
      </c>
      <c r="I95" s="483">
        <f t="shared" ca="1" si="51"/>
        <v>191477.32034869399</v>
      </c>
      <c r="J95" s="483">
        <f t="shared" ca="1" si="51"/>
        <v>316682.86055773392</v>
      </c>
      <c r="K95" s="483">
        <f t="shared" ca="1" si="51"/>
        <v>5133972.4258769797</v>
      </c>
      <c r="L95" s="483">
        <f t="shared" ca="1" si="51"/>
        <v>53463.479746615682</v>
      </c>
      <c r="M95" s="483">
        <f t="shared" ca="1" si="51"/>
        <v>71633.57743182464</v>
      </c>
      <c r="N95" s="483">
        <f t="shared" ca="1" si="51"/>
        <v>90582.99114866661</v>
      </c>
      <c r="O95" s="483">
        <f t="shared" ca="1" si="51"/>
        <v>110343.9437808918</v>
      </c>
      <c r="P95" s="483">
        <f t="shared" ca="1" si="51"/>
        <v>-157195.77528090676</v>
      </c>
      <c r="Q95" s="483" t="str">
        <f t="shared" si="51"/>
        <v/>
      </c>
      <c r="R95" s="483" t="str">
        <f t="shared" si="51"/>
        <v/>
      </c>
      <c r="S95" s="483" t="str">
        <f t="shared" si="51"/>
        <v/>
      </c>
      <c r="T95" s="483" t="str">
        <f t="shared" si="51"/>
        <v/>
      </c>
      <c r="U95" s="483" t="str">
        <f t="shared" si="51"/>
        <v/>
      </c>
    </row>
    <row r="96" spans="2:21" ht="5" customHeight="1" x14ac:dyDescent="0.2">
      <c r="B96" s="392" t="s">
        <v>738</v>
      </c>
      <c r="C96" s="392" t="s">
        <v>738</v>
      </c>
      <c r="D96" s="392" t="s">
        <v>738</v>
      </c>
      <c r="E96" s="392" t="s">
        <v>738</v>
      </c>
      <c r="F96" s="488" t="str">
        <f t="shared" ref="F96:U96" si="52">IF(F89="","",".")</f>
        <v>.</v>
      </c>
      <c r="G96" s="488" t="str">
        <f t="shared" ca="1" si="52"/>
        <v>.</v>
      </c>
      <c r="H96" s="488" t="str">
        <f t="shared" ca="1" si="52"/>
        <v>.</v>
      </c>
      <c r="I96" s="488" t="str">
        <f t="shared" ca="1" si="52"/>
        <v>.</v>
      </c>
      <c r="J96" s="488" t="str">
        <f t="shared" ca="1" si="52"/>
        <v>.</v>
      </c>
      <c r="K96" s="488" t="str">
        <f t="shared" ca="1" si="52"/>
        <v>.</v>
      </c>
      <c r="L96" s="488" t="str">
        <f t="shared" ca="1" si="52"/>
        <v>.</v>
      </c>
      <c r="M96" s="488" t="str">
        <f t="shared" ca="1" si="52"/>
        <v>.</v>
      </c>
      <c r="N96" s="488" t="str">
        <f t="shared" ca="1" si="52"/>
        <v>.</v>
      </c>
      <c r="O96" s="488" t="str">
        <f t="shared" ca="1" si="52"/>
        <v>.</v>
      </c>
      <c r="P96" s="488" t="str">
        <f t="shared" ca="1" si="52"/>
        <v>.</v>
      </c>
      <c r="Q96" s="488" t="str">
        <f t="shared" si="52"/>
        <v/>
      </c>
      <c r="R96" s="488" t="str">
        <f t="shared" si="52"/>
        <v/>
      </c>
      <c r="S96" s="488" t="str">
        <f t="shared" si="52"/>
        <v/>
      </c>
      <c r="T96" s="488" t="str">
        <f t="shared" si="52"/>
        <v/>
      </c>
      <c r="U96" s="488" t="str">
        <f t="shared" si="52"/>
        <v/>
      </c>
    </row>
    <row r="97" spans="2:21" ht="15" x14ac:dyDescent="0.2">
      <c r="B97" s="404" t="s">
        <v>729</v>
      </c>
      <c r="C97" s="404"/>
      <c r="D97" s="404"/>
      <c r="E97" s="404"/>
      <c r="F97" s="483">
        <f t="shared" ref="F97:U97" si="53">IF(F89="","",F93)</f>
        <v>0</v>
      </c>
      <c r="G97" s="483">
        <f t="shared" ca="1" si="53"/>
        <v>0</v>
      </c>
      <c r="H97" s="483">
        <f t="shared" ca="1" si="53"/>
        <v>0</v>
      </c>
      <c r="I97" s="483">
        <f t="shared" ca="1" si="53"/>
        <v>0</v>
      </c>
      <c r="J97" s="483">
        <f t="shared" ca="1" si="53"/>
        <v>0</v>
      </c>
      <c r="K97" s="483">
        <f t="shared" ca="1" si="53"/>
        <v>0</v>
      </c>
      <c r="L97" s="483">
        <f t="shared" ca="1" si="53"/>
        <v>0</v>
      </c>
      <c r="M97" s="483">
        <f t="shared" ca="1" si="53"/>
        <v>0</v>
      </c>
      <c r="N97" s="483">
        <f t="shared" ca="1" si="53"/>
        <v>0</v>
      </c>
      <c r="O97" s="483">
        <f t="shared" ca="1" si="53"/>
        <v>0</v>
      </c>
      <c r="P97" s="483">
        <f t="shared" ca="1" si="53"/>
        <v>0</v>
      </c>
      <c r="Q97" s="483" t="str">
        <f t="shared" si="53"/>
        <v/>
      </c>
      <c r="R97" s="483" t="str">
        <f t="shared" si="53"/>
        <v/>
      </c>
      <c r="S97" s="483" t="str">
        <f t="shared" si="53"/>
        <v/>
      </c>
      <c r="T97" s="483" t="str">
        <f t="shared" si="53"/>
        <v/>
      </c>
      <c r="U97" s="483" t="str">
        <f t="shared" si="53"/>
        <v/>
      </c>
    </row>
    <row r="98" spans="2:21" ht="15" x14ac:dyDescent="0.2">
      <c r="B98" s="404" t="s">
        <v>733</v>
      </c>
      <c r="C98" s="404"/>
      <c r="D98" s="404"/>
      <c r="E98" s="404"/>
      <c r="F98" s="483">
        <f>IF(F89="","",F97/$I$16*$H$16)</f>
        <v>0</v>
      </c>
      <c r="G98" s="483">
        <f t="shared" ref="G98:U98" ca="1" si="54">IF(G89="","",G97/$I$16*$H$16)</f>
        <v>0</v>
      </c>
      <c r="H98" s="483">
        <f t="shared" ca="1" si="54"/>
        <v>0</v>
      </c>
      <c r="I98" s="483">
        <f t="shared" ca="1" si="54"/>
        <v>0</v>
      </c>
      <c r="J98" s="483">
        <f t="shared" ca="1" si="54"/>
        <v>0</v>
      </c>
      <c r="K98" s="483">
        <f t="shared" ca="1" si="54"/>
        <v>0</v>
      </c>
      <c r="L98" s="483">
        <f t="shared" ca="1" si="54"/>
        <v>0</v>
      </c>
      <c r="M98" s="483">
        <f t="shared" ca="1" si="54"/>
        <v>0</v>
      </c>
      <c r="N98" s="483">
        <f t="shared" ca="1" si="54"/>
        <v>0</v>
      </c>
      <c r="O98" s="483">
        <f t="shared" ca="1" si="54"/>
        <v>0</v>
      </c>
      <c r="P98" s="483">
        <f t="shared" ca="1" si="54"/>
        <v>0</v>
      </c>
      <c r="Q98" s="483" t="str">
        <f t="shared" si="54"/>
        <v/>
      </c>
      <c r="R98" s="483" t="str">
        <f t="shared" si="54"/>
        <v/>
      </c>
      <c r="S98" s="483" t="str">
        <f t="shared" si="54"/>
        <v/>
      </c>
      <c r="T98" s="483" t="str">
        <f t="shared" si="54"/>
        <v/>
      </c>
      <c r="U98" s="483" t="str">
        <f t="shared" si="54"/>
        <v/>
      </c>
    </row>
    <row r="99" spans="2:21" ht="15" x14ac:dyDescent="0.2">
      <c r="B99" s="404" t="str">
        <f>"Total Distributions ("&amp;B87&amp;")"</f>
        <v>Total Distributions (Hurdle 3)</v>
      </c>
      <c r="C99" s="404"/>
      <c r="D99" s="404"/>
      <c r="E99" s="404"/>
      <c r="F99" s="483">
        <f t="shared" ref="F99:U99" si="55">IF(F89="","",F97+F98)</f>
        <v>0</v>
      </c>
      <c r="G99" s="483">
        <f t="shared" ca="1" si="55"/>
        <v>0</v>
      </c>
      <c r="H99" s="483">
        <f t="shared" ca="1" si="55"/>
        <v>0</v>
      </c>
      <c r="I99" s="483">
        <f t="shared" ca="1" si="55"/>
        <v>0</v>
      </c>
      <c r="J99" s="483">
        <f t="shared" ca="1" si="55"/>
        <v>0</v>
      </c>
      <c r="K99" s="483">
        <f t="shared" ca="1" si="55"/>
        <v>0</v>
      </c>
      <c r="L99" s="483">
        <f t="shared" ca="1" si="55"/>
        <v>0</v>
      </c>
      <c r="M99" s="483">
        <f t="shared" ca="1" si="55"/>
        <v>0</v>
      </c>
      <c r="N99" s="483">
        <f t="shared" ca="1" si="55"/>
        <v>0</v>
      </c>
      <c r="O99" s="483">
        <f t="shared" ca="1" si="55"/>
        <v>0</v>
      </c>
      <c r="P99" s="483">
        <f t="shared" ca="1" si="55"/>
        <v>0</v>
      </c>
      <c r="Q99" s="483" t="str">
        <f t="shared" si="55"/>
        <v/>
      </c>
      <c r="R99" s="483" t="str">
        <f t="shared" si="55"/>
        <v/>
      </c>
      <c r="S99" s="483" t="str">
        <f t="shared" si="55"/>
        <v/>
      </c>
      <c r="T99" s="483" t="str">
        <f t="shared" si="55"/>
        <v/>
      </c>
      <c r="U99" s="483" t="str">
        <f t="shared" si="55"/>
        <v/>
      </c>
    </row>
    <row r="100" spans="2:21" ht="15" x14ac:dyDescent="0.2">
      <c r="B100" s="404" t="s">
        <v>735</v>
      </c>
      <c r="C100" s="404"/>
      <c r="D100" s="404"/>
      <c r="E100" s="404"/>
      <c r="F100" s="483">
        <f t="shared" ref="F100:U100" si="56">IF(F89="","",MAX(F$47-F69-F84-F99,0))</f>
        <v>0</v>
      </c>
      <c r="G100" s="483">
        <f t="shared" ca="1" si="56"/>
        <v>0</v>
      </c>
      <c r="H100" s="483">
        <f t="shared" ca="1" si="56"/>
        <v>0</v>
      </c>
      <c r="I100" s="483">
        <f t="shared" ca="1" si="56"/>
        <v>0</v>
      </c>
      <c r="J100" s="483">
        <f t="shared" ca="1" si="56"/>
        <v>0</v>
      </c>
      <c r="K100" s="483">
        <f t="shared" ca="1" si="56"/>
        <v>0</v>
      </c>
      <c r="L100" s="483">
        <f t="shared" ca="1" si="56"/>
        <v>0</v>
      </c>
      <c r="M100" s="483">
        <f t="shared" ca="1" si="56"/>
        <v>0</v>
      </c>
      <c r="N100" s="483">
        <f t="shared" ca="1" si="56"/>
        <v>0</v>
      </c>
      <c r="O100" s="483">
        <f t="shared" ca="1" si="56"/>
        <v>0</v>
      </c>
      <c r="P100" s="483">
        <f t="shared" ca="1" si="56"/>
        <v>0</v>
      </c>
      <c r="Q100" s="483" t="str">
        <f t="shared" si="56"/>
        <v/>
      </c>
      <c r="R100" s="483" t="str">
        <f t="shared" si="56"/>
        <v/>
      </c>
      <c r="S100" s="483" t="str">
        <f t="shared" si="56"/>
        <v/>
      </c>
      <c r="T100" s="483" t="str">
        <f t="shared" si="56"/>
        <v/>
      </c>
      <c r="U100" s="483" t="str">
        <f t="shared" si="56"/>
        <v/>
      </c>
    </row>
    <row r="101" spans="2:21" ht="5" customHeight="1" x14ac:dyDescent="0.2">
      <c r="B101" s="404"/>
      <c r="C101" s="404"/>
      <c r="D101" s="404"/>
      <c r="E101" s="404"/>
      <c r="F101" s="405"/>
      <c r="G101" s="405"/>
      <c r="H101" s="405"/>
      <c r="I101" s="405"/>
      <c r="J101" s="405"/>
      <c r="K101" s="405"/>
      <c r="L101" s="405"/>
      <c r="M101" s="405"/>
      <c r="N101" s="405"/>
      <c r="O101" s="405"/>
      <c r="P101" s="405"/>
      <c r="Q101" s="405"/>
      <c r="R101" s="405"/>
      <c r="S101" s="405"/>
      <c r="T101" s="405"/>
      <c r="U101" s="405"/>
    </row>
    <row r="102" spans="2:21" ht="16" x14ac:dyDescent="0.2">
      <c r="B102" s="407" t="s">
        <v>691</v>
      </c>
      <c r="C102" s="404"/>
      <c r="D102" s="404"/>
      <c r="E102" s="404"/>
      <c r="F102" s="405"/>
      <c r="G102" s="405"/>
      <c r="H102" s="405"/>
      <c r="I102" s="405"/>
      <c r="J102" s="405"/>
      <c r="K102" s="405"/>
      <c r="L102" s="405"/>
      <c r="M102" s="405"/>
      <c r="N102" s="405"/>
      <c r="O102" s="405"/>
      <c r="P102" s="405"/>
      <c r="Q102" s="405"/>
      <c r="R102" s="405"/>
      <c r="S102" s="405"/>
      <c r="T102" s="405"/>
      <c r="U102" s="405"/>
    </row>
    <row r="103" spans="2:21" ht="15" x14ac:dyDescent="0.2">
      <c r="B103" s="481" t="s">
        <v>740</v>
      </c>
      <c r="C103" s="482">
        <f>C88</f>
        <v>0.99</v>
      </c>
      <c r="D103" s="428"/>
      <c r="E103" s="428"/>
      <c r="F103" s="429"/>
      <c r="G103" s="429"/>
      <c r="H103" s="429"/>
      <c r="I103" s="429"/>
      <c r="J103" s="429"/>
      <c r="K103" s="429"/>
      <c r="L103" s="429"/>
      <c r="M103" s="429"/>
      <c r="N103" s="429"/>
      <c r="O103" s="429"/>
      <c r="P103" s="429"/>
      <c r="Q103" s="429"/>
      <c r="R103" s="429"/>
      <c r="S103" s="429"/>
      <c r="T103" s="429"/>
      <c r="U103" s="429"/>
    </row>
    <row r="104" spans="2:21" ht="15" x14ac:dyDescent="0.2">
      <c r="B104" s="404" t="s">
        <v>729</v>
      </c>
      <c r="C104" s="404"/>
      <c r="D104" s="404"/>
      <c r="E104" s="404"/>
      <c r="F104" s="483">
        <f t="shared" ref="F104:U104" si="57">IF(F89="","",F100*$I$17)</f>
        <v>0</v>
      </c>
      <c r="G104" s="483">
        <f t="shared" ca="1" si="57"/>
        <v>0</v>
      </c>
      <c r="H104" s="483">
        <f t="shared" ca="1" si="57"/>
        <v>0</v>
      </c>
      <c r="I104" s="483">
        <f t="shared" ca="1" si="57"/>
        <v>0</v>
      </c>
      <c r="J104" s="483">
        <f t="shared" ca="1" si="57"/>
        <v>0</v>
      </c>
      <c r="K104" s="483">
        <f t="shared" ca="1" si="57"/>
        <v>0</v>
      </c>
      <c r="L104" s="483">
        <f t="shared" ca="1" si="57"/>
        <v>0</v>
      </c>
      <c r="M104" s="483">
        <f t="shared" ca="1" si="57"/>
        <v>0</v>
      </c>
      <c r="N104" s="483">
        <f t="shared" ca="1" si="57"/>
        <v>0</v>
      </c>
      <c r="O104" s="483">
        <f t="shared" ca="1" si="57"/>
        <v>0</v>
      </c>
      <c r="P104" s="483">
        <f t="shared" ca="1" si="57"/>
        <v>0</v>
      </c>
      <c r="Q104" s="483" t="str">
        <f t="shared" si="57"/>
        <v/>
      </c>
      <c r="R104" s="483" t="str">
        <f t="shared" si="57"/>
        <v/>
      </c>
      <c r="S104" s="483" t="str">
        <f t="shared" si="57"/>
        <v/>
      </c>
      <c r="T104" s="483" t="str">
        <f t="shared" si="57"/>
        <v/>
      </c>
      <c r="U104" s="483" t="str">
        <f t="shared" si="57"/>
        <v/>
      </c>
    </row>
    <row r="105" spans="2:21" ht="15" x14ac:dyDescent="0.2">
      <c r="B105" s="404" t="s">
        <v>733</v>
      </c>
      <c r="C105" s="404"/>
      <c r="D105" s="404"/>
      <c r="E105" s="404"/>
      <c r="F105" s="483">
        <f t="shared" ref="F105:U105" si="58">IF(F104="","",F100-F104)</f>
        <v>0</v>
      </c>
      <c r="G105" s="483">
        <f t="shared" ca="1" si="58"/>
        <v>0</v>
      </c>
      <c r="H105" s="483">
        <f t="shared" ca="1" si="58"/>
        <v>0</v>
      </c>
      <c r="I105" s="483">
        <f t="shared" ca="1" si="58"/>
        <v>0</v>
      </c>
      <c r="J105" s="483">
        <f t="shared" ca="1" si="58"/>
        <v>0</v>
      </c>
      <c r="K105" s="483">
        <f t="shared" ca="1" si="58"/>
        <v>0</v>
      </c>
      <c r="L105" s="483">
        <f t="shared" ca="1" si="58"/>
        <v>0</v>
      </c>
      <c r="M105" s="483">
        <f t="shared" ca="1" si="58"/>
        <v>0</v>
      </c>
      <c r="N105" s="483">
        <f t="shared" ca="1" si="58"/>
        <v>0</v>
      </c>
      <c r="O105" s="483">
        <f t="shared" ca="1" si="58"/>
        <v>0</v>
      </c>
      <c r="P105" s="483">
        <f t="shared" ca="1" si="58"/>
        <v>0</v>
      </c>
      <c r="Q105" s="483" t="str">
        <f t="shared" si="58"/>
        <v/>
      </c>
      <c r="R105" s="483" t="str">
        <f t="shared" si="58"/>
        <v/>
      </c>
      <c r="S105" s="483" t="str">
        <f t="shared" si="58"/>
        <v/>
      </c>
      <c r="T105" s="483" t="str">
        <f t="shared" si="58"/>
        <v/>
      </c>
      <c r="U105" s="483" t="str">
        <f t="shared" si="58"/>
        <v/>
      </c>
    </row>
    <row r="106" spans="2:21" ht="15" x14ac:dyDescent="0.2">
      <c r="B106" s="404" t="str">
        <f>"Total Distributions ("&amp;B102&amp;")"</f>
        <v>Total Distributions (Hurdle 4)</v>
      </c>
      <c r="C106" s="404"/>
      <c r="D106" s="404"/>
      <c r="E106" s="404"/>
      <c r="F106" s="483">
        <f t="shared" ref="F106:U106" si="59">IF(F104="","",F104+F105)</f>
        <v>0</v>
      </c>
      <c r="G106" s="483">
        <f t="shared" ca="1" si="59"/>
        <v>0</v>
      </c>
      <c r="H106" s="483">
        <f t="shared" ca="1" si="59"/>
        <v>0</v>
      </c>
      <c r="I106" s="483">
        <f t="shared" ca="1" si="59"/>
        <v>0</v>
      </c>
      <c r="J106" s="483">
        <f t="shared" ca="1" si="59"/>
        <v>0</v>
      </c>
      <c r="K106" s="483">
        <f t="shared" ca="1" si="59"/>
        <v>0</v>
      </c>
      <c r="L106" s="483">
        <f t="shared" ca="1" si="59"/>
        <v>0</v>
      </c>
      <c r="M106" s="483">
        <f t="shared" ca="1" si="59"/>
        <v>0</v>
      </c>
      <c r="N106" s="483">
        <f t="shared" ca="1" si="59"/>
        <v>0</v>
      </c>
      <c r="O106" s="483">
        <f t="shared" ca="1" si="59"/>
        <v>0</v>
      </c>
      <c r="P106" s="483">
        <f t="shared" ca="1" si="59"/>
        <v>0</v>
      </c>
      <c r="Q106" s="483" t="str">
        <f t="shared" si="59"/>
        <v/>
      </c>
      <c r="R106" s="483" t="str">
        <f t="shared" si="59"/>
        <v/>
      </c>
      <c r="S106" s="483" t="str">
        <f t="shared" si="59"/>
        <v/>
      </c>
      <c r="T106" s="483" t="str">
        <f t="shared" si="59"/>
        <v/>
      </c>
      <c r="U106" s="483" t="str">
        <f t="shared" si="59"/>
        <v/>
      </c>
    </row>
    <row r="107" spans="2:21" ht="15" x14ac:dyDescent="0.2">
      <c r="B107" s="404" t="s">
        <v>735</v>
      </c>
      <c r="C107" s="404"/>
      <c r="D107" s="404"/>
      <c r="E107" s="404"/>
      <c r="F107" s="483">
        <f t="shared" ref="F107:U107" si="60">IF(F104="","",F100-F106)</f>
        <v>0</v>
      </c>
      <c r="G107" s="483">
        <f t="shared" ca="1" si="60"/>
        <v>0</v>
      </c>
      <c r="H107" s="483">
        <f t="shared" ca="1" si="60"/>
        <v>0</v>
      </c>
      <c r="I107" s="483">
        <f t="shared" ca="1" si="60"/>
        <v>0</v>
      </c>
      <c r="J107" s="483">
        <f t="shared" ca="1" si="60"/>
        <v>0</v>
      </c>
      <c r="K107" s="483">
        <f t="shared" ca="1" si="60"/>
        <v>0</v>
      </c>
      <c r="L107" s="483">
        <f t="shared" ca="1" si="60"/>
        <v>0</v>
      </c>
      <c r="M107" s="483">
        <f t="shared" ca="1" si="60"/>
        <v>0</v>
      </c>
      <c r="N107" s="483">
        <f t="shared" ca="1" si="60"/>
        <v>0</v>
      </c>
      <c r="O107" s="483">
        <f t="shared" ca="1" si="60"/>
        <v>0</v>
      </c>
      <c r="P107" s="483">
        <f t="shared" ca="1" si="60"/>
        <v>0</v>
      </c>
      <c r="Q107" s="483" t="str">
        <f t="shared" si="60"/>
        <v/>
      </c>
      <c r="R107" s="483" t="str">
        <f t="shared" si="60"/>
        <v/>
      </c>
      <c r="S107" s="483" t="str">
        <f t="shared" si="60"/>
        <v/>
      </c>
      <c r="T107" s="483" t="str">
        <f t="shared" si="60"/>
        <v/>
      </c>
      <c r="U107" s="483" t="str">
        <f t="shared" si="60"/>
        <v/>
      </c>
    </row>
    <row r="108" spans="2:21" ht="10" customHeight="1" x14ac:dyDescent="0.2"/>
    <row r="109" spans="2:21" ht="15" hidden="1" x14ac:dyDescent="0.2"/>
    <row r="110" spans="2:21" ht="15" hidden="1" x14ac:dyDescent="0.2"/>
    <row r="111" spans="2:21" ht="15" hidden="1" x14ac:dyDescent="0.2"/>
    <row r="112" spans="2:21" ht="15" hidden="1" x14ac:dyDescent="0.2"/>
  </sheetData>
  <sheetProtection selectLockedCells="1"/>
  <mergeCells count="8">
    <mergeCell ref="J16:N16"/>
    <mergeCell ref="J17:N17"/>
    <mergeCell ref="O4:S4"/>
    <mergeCell ref="O5:S5"/>
    <mergeCell ref="F12:G13"/>
    <mergeCell ref="H12:I12"/>
    <mergeCell ref="J14:N14"/>
    <mergeCell ref="J15:N15"/>
  </mergeCells>
  <conditionalFormatting sqref="L8">
    <cfRule type="expression" dxfId="19" priority="19">
      <formula>$L$8="OK"</formula>
    </cfRule>
  </conditionalFormatting>
  <conditionalFormatting sqref="D14:D17">
    <cfRule type="expression" dxfId="18" priority="18">
      <formula>$D$4="Equity Multiple"</formula>
    </cfRule>
  </conditionalFormatting>
  <conditionalFormatting sqref="E14:E16">
    <cfRule type="expression" dxfId="17" priority="17">
      <formula>$D$4="Equity Multiple"</formula>
    </cfRule>
  </conditionalFormatting>
  <conditionalFormatting sqref="C14:C17">
    <cfRule type="expression" dxfId="16" priority="16">
      <formula>$D$4&lt;&gt;"Equity Multiple"</formula>
    </cfRule>
  </conditionalFormatting>
  <conditionalFormatting sqref="B59">
    <cfRule type="expression" dxfId="15" priority="15">
      <formula>$C$4="Equity Multiple"</formula>
    </cfRule>
  </conditionalFormatting>
  <conditionalFormatting sqref="E59">
    <cfRule type="expression" dxfId="14" priority="14">
      <formula>$C$4="Equity Multiple"</formula>
    </cfRule>
  </conditionalFormatting>
  <conditionalFormatting sqref="B80">
    <cfRule type="expression" dxfId="13" priority="13">
      <formula>$C$4="Equity Multiple"</formula>
    </cfRule>
  </conditionalFormatting>
  <conditionalFormatting sqref="B95">
    <cfRule type="expression" dxfId="12" priority="12">
      <formula>$C$4="Equity Multiple"</formula>
    </cfRule>
  </conditionalFormatting>
  <conditionalFormatting sqref="C52">
    <cfRule type="expression" dxfId="11" priority="11">
      <formula>$C$4="Equity Multiple"</formula>
    </cfRule>
  </conditionalFormatting>
  <conditionalFormatting sqref="C73">
    <cfRule type="expression" dxfId="10" priority="10">
      <formula>$C$4="Equity Multiple"</formula>
    </cfRule>
  </conditionalFormatting>
  <conditionalFormatting sqref="C88">
    <cfRule type="expression" dxfId="9" priority="9">
      <formula>$C$4="Equity Multiple"</formula>
    </cfRule>
  </conditionalFormatting>
  <conditionalFormatting sqref="C103">
    <cfRule type="expression" dxfId="8" priority="8">
      <formula>$C$4="Equity Multiple"</formula>
    </cfRule>
  </conditionalFormatting>
  <conditionalFormatting sqref="E80">
    <cfRule type="expression" dxfId="7" priority="7">
      <formula>$C$4="Equity Multiple"</formula>
    </cfRule>
  </conditionalFormatting>
  <conditionalFormatting sqref="E95">
    <cfRule type="expression" dxfId="6" priority="6">
      <formula>$C$4="Equity Multiple"</formula>
    </cfRule>
  </conditionalFormatting>
  <conditionalFormatting sqref="B67">
    <cfRule type="expression" dxfId="5" priority="5">
      <formula>$C$4="Equity Multiple"</formula>
    </cfRule>
  </conditionalFormatting>
  <conditionalFormatting sqref="E67">
    <cfRule type="expression" dxfId="4" priority="4">
      <formula>$C$4="Equity Multiple"</formula>
    </cfRule>
  </conditionalFormatting>
  <conditionalFormatting sqref="E59 E67 E80 E95">
    <cfRule type="expression" dxfId="3" priority="3">
      <formula>$D$4="Equity Multiple"</formula>
    </cfRule>
  </conditionalFormatting>
  <conditionalFormatting sqref="E5">
    <cfRule type="expression" dxfId="2" priority="2">
      <formula>$H$14&gt;=$C$8</formula>
    </cfRule>
  </conditionalFormatting>
  <conditionalFormatting sqref="F7 G5">
    <cfRule type="cellIs" dxfId="1" priority="20" operator="equal">
      <formula>$G$4</formula>
    </cfRule>
  </conditionalFormatting>
  <conditionalFormatting sqref="F5">
    <cfRule type="cellIs" dxfId="0" priority="1" operator="lessThanOrEqual">
      <formula>$G$4</formula>
    </cfRule>
  </conditionalFormatting>
  <dataValidations count="3">
    <dataValidation type="list" allowBlank="1" showInputMessage="1" showErrorMessage="1" sqref="D4" xr:uid="{97B2987B-36D6-45DF-8008-DBCEEF3CD357}">
      <formula1>"IRR, Equity Multiple"</formula1>
    </dataValidation>
    <dataValidation type="list" allowBlank="1" showInputMessage="1" showErrorMessage="1" sqref="D5" xr:uid="{4B74B5B6-CD7F-453F-A982-93E01FCA88D1}">
      <formula1>"Pari Passu"</formula1>
    </dataValidation>
    <dataValidation type="list" allowBlank="1" showInputMessage="1" showErrorMessage="1" sqref="E5" xr:uid="{00927A2A-E9D2-4ABA-876A-9FB9D3E88A1B}">
      <formula1>"Yes, No"</formula1>
    </dataValidation>
  </dataValidations>
  <pageMargins left="0.7" right="0.7" top="0.75" bottom="0.75" header="0.3" footer="0.3"/>
  <pageSetup scale="35" orientation="portrait" horizontalDpi="4294967294"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2060"/>
  </sheetPr>
  <dimension ref="A1:J27"/>
  <sheetViews>
    <sheetView workbookViewId="0"/>
  </sheetViews>
  <sheetFormatPr baseColWidth="10" defaultColWidth="9.1640625" defaultRowHeight="13" x14ac:dyDescent="0.15"/>
  <cols>
    <col min="1" max="1" width="25" style="7" customWidth="1"/>
    <col min="2" max="2" width="18.5" style="7" customWidth="1"/>
    <col min="3" max="3" width="10.1640625" style="7" customWidth="1"/>
    <col min="4" max="4" width="35.5" style="7" bestFit="1" customWidth="1"/>
    <col min="5" max="10" width="12.1640625" style="7" bestFit="1" customWidth="1"/>
    <col min="11" max="16384" width="9.1640625" style="7"/>
  </cols>
  <sheetData>
    <row r="1" spans="1:10" ht="8.5" customHeight="1" x14ac:dyDescent="0.15">
      <c r="A1" s="671"/>
      <c r="B1" s="671"/>
      <c r="C1" s="671"/>
      <c r="D1" s="671"/>
      <c r="E1" s="671"/>
      <c r="F1" s="671"/>
      <c r="G1" s="671"/>
      <c r="H1" s="671"/>
      <c r="I1" s="671"/>
      <c r="J1" s="671"/>
    </row>
    <row r="2" spans="1:10" x14ac:dyDescent="0.15">
      <c r="A2" s="8" t="str">
        <f>Proforma!C1</f>
        <v>Timberline Estates - 14876 Washington Road, West Burlington, IA 52655</v>
      </c>
      <c r="B2" s="671"/>
      <c r="C2" s="671"/>
      <c r="D2" s="671"/>
      <c r="E2" s="671"/>
      <c r="F2" s="671"/>
      <c r="G2" s="671"/>
      <c r="H2" s="671"/>
      <c r="I2" s="671"/>
      <c r="J2" s="671"/>
    </row>
    <row r="3" spans="1:10" x14ac:dyDescent="0.15">
      <c r="A3" s="42" t="s">
        <v>43</v>
      </c>
      <c r="B3" s="42"/>
      <c r="C3" s="672"/>
      <c r="D3" s="42" t="s">
        <v>44</v>
      </c>
      <c r="E3" s="43" t="s">
        <v>28</v>
      </c>
      <c r="F3" s="43" t="s">
        <v>29</v>
      </c>
      <c r="G3" s="43" t="s">
        <v>30</v>
      </c>
      <c r="H3" s="43" t="s">
        <v>31</v>
      </c>
      <c r="I3" s="43" t="s">
        <v>45</v>
      </c>
      <c r="J3" s="43" t="s">
        <v>46</v>
      </c>
    </row>
    <row r="4" spans="1:10" x14ac:dyDescent="0.15">
      <c r="A4" s="45" t="s">
        <v>47</v>
      </c>
      <c r="B4" s="46" t="s">
        <v>48</v>
      </c>
      <c r="C4" s="672"/>
      <c r="D4" s="29" t="s">
        <v>49</v>
      </c>
      <c r="E4" s="673">
        <f>Proforma!F55*12</f>
        <v>454393.32</v>
      </c>
      <c r="F4" s="673">
        <f>Proforma!G55*12</f>
        <v>575597.10000000009</v>
      </c>
      <c r="G4" s="673">
        <f>Proforma!H55*12</f>
        <v>713630.53560000006</v>
      </c>
      <c r="H4" s="673">
        <f>Proforma!I55*12</f>
        <v>858474.219912</v>
      </c>
      <c r="I4" s="673">
        <f>Proforma!J55*12</f>
        <v>1003420.75791024</v>
      </c>
      <c r="J4" s="673">
        <f>Proforma!K55*12</f>
        <v>1041952.5794684449</v>
      </c>
    </row>
    <row r="5" spans="1:10" x14ac:dyDescent="0.15">
      <c r="A5" s="29" t="s">
        <v>43</v>
      </c>
      <c r="B5" s="47">
        <f>Proforma!D6</f>
        <v>4503406</v>
      </c>
      <c r="C5" s="48"/>
      <c r="D5" s="29" t="s">
        <v>50</v>
      </c>
      <c r="E5" s="674">
        <f ca="1">Proforma!F82*12</f>
        <v>301756.31599999999</v>
      </c>
      <c r="F5" s="674">
        <f ca="1">Proforma!G82*12</f>
        <v>313397.23800000001</v>
      </c>
      <c r="G5" s="674">
        <f ca="1">Proforma!H82*12</f>
        <v>325991.25744000002</v>
      </c>
      <c r="H5" s="674">
        <f ca="1">Proforma!I82*12</f>
        <v>339039.63626880007</v>
      </c>
      <c r="I5" s="674">
        <f ca="1">Proforma!J82*12</f>
        <v>352209.28167417611</v>
      </c>
      <c r="J5" s="674">
        <f ca="1">Proforma!K82*12</f>
        <v>360176.6376276596</v>
      </c>
    </row>
    <row r="6" spans="1:10" ht="14" thickBot="1" x14ac:dyDescent="0.2">
      <c r="A6" s="642" t="s">
        <v>51</v>
      </c>
      <c r="B6" s="675">
        <f>Proforma!D7</f>
        <v>2221593.8119999999</v>
      </c>
      <c r="C6" s="676"/>
      <c r="D6" s="739" t="s">
        <v>52</v>
      </c>
      <c r="E6" s="740">
        <f t="shared" ref="E6:J6" ca="1" si="0">E4-E5</f>
        <v>152637.00400000002</v>
      </c>
      <c r="F6" s="740">
        <f t="shared" ca="1" si="0"/>
        <v>262199.86200000008</v>
      </c>
      <c r="G6" s="740">
        <f t="shared" ca="1" si="0"/>
        <v>387639.27816000005</v>
      </c>
      <c r="H6" s="740">
        <f t="shared" ca="1" si="0"/>
        <v>519434.58364319993</v>
      </c>
      <c r="I6" s="740">
        <f t="shared" ca="1" si="0"/>
        <v>651211.47623606387</v>
      </c>
      <c r="J6" s="740">
        <f t="shared" ca="1" si="0"/>
        <v>681775.94184078532</v>
      </c>
    </row>
    <row r="7" spans="1:10" ht="14" thickTop="1" x14ac:dyDescent="0.15">
      <c r="A7" s="49" t="s">
        <v>53</v>
      </c>
      <c r="B7" s="741">
        <f>SUM(B5:B6)</f>
        <v>6724999.8119999999</v>
      </c>
      <c r="C7" s="677"/>
      <c r="D7" s="1" t="s">
        <v>54</v>
      </c>
      <c r="E7" s="38">
        <f t="shared" ref="E7:J7" ca="1" si="1">E6/E4</f>
        <v>0.33591383781786233</v>
      </c>
      <c r="F7" s="38">
        <f t="shared" ca="1" si="1"/>
        <v>0.45552672520414028</v>
      </c>
      <c r="G7" s="38">
        <f t="shared" ca="1" si="1"/>
        <v>0.54319323350434279</v>
      </c>
      <c r="H7" s="38">
        <f t="shared" ca="1" si="1"/>
        <v>0.60506718966638962</v>
      </c>
      <c r="I7" s="38">
        <f t="shared" ca="1" si="1"/>
        <v>0.64899143365570811</v>
      </c>
      <c r="J7" s="38">
        <f t="shared" ca="1" si="1"/>
        <v>0.65432530738452155</v>
      </c>
    </row>
    <row r="8" spans="1:10" x14ac:dyDescent="0.15">
      <c r="A8" s="52" t="s">
        <v>55</v>
      </c>
      <c r="B8" s="53">
        <f ca="1">Proforma!D10</f>
        <v>2.2696952902160172E-2</v>
      </c>
      <c r="C8" s="671"/>
      <c r="D8" s="671"/>
      <c r="E8" s="671"/>
      <c r="F8" s="671"/>
      <c r="G8" s="671"/>
      <c r="H8" s="671"/>
      <c r="I8" s="671"/>
      <c r="J8" s="671"/>
    </row>
    <row r="9" spans="1:10" x14ac:dyDescent="0.15">
      <c r="A9" s="671"/>
      <c r="B9" s="671"/>
      <c r="C9" s="671"/>
      <c r="D9" s="54" t="s">
        <v>56</v>
      </c>
      <c r="E9" s="19">
        <f>-Proforma!F96</f>
        <v>-196209.80598874314</v>
      </c>
      <c r="F9" s="19">
        <f>-Proforma!G96</f>
        <v>-196209.80598874314</v>
      </c>
      <c r="G9" s="19">
        <f>-Proforma!H96</f>
        <v>-196209.80598874314</v>
      </c>
      <c r="H9" s="19">
        <f>-Proforma!I96</f>
        <v>-196209.80598874314</v>
      </c>
      <c r="I9" s="19">
        <f>-Proforma!J96</f>
        <v>-196209.80598874314</v>
      </c>
      <c r="J9" s="19">
        <f ca="1">-Proforma!K96</f>
        <v>-543880.36521795078</v>
      </c>
    </row>
    <row r="10" spans="1:10" x14ac:dyDescent="0.15">
      <c r="A10" s="29" t="s">
        <v>57</v>
      </c>
      <c r="B10" s="673">
        <f>B5-B11</f>
        <v>1688406</v>
      </c>
      <c r="C10" s="55">
        <f>B11/B12</f>
        <v>0.62508243760389359</v>
      </c>
      <c r="D10" s="671"/>
      <c r="E10" s="671"/>
      <c r="F10" s="671"/>
      <c r="G10" s="671"/>
      <c r="H10" s="671"/>
      <c r="I10" s="671"/>
      <c r="J10" s="671"/>
    </row>
    <row r="11" spans="1:10" x14ac:dyDescent="0.15">
      <c r="A11" s="29" t="s">
        <v>58</v>
      </c>
      <c r="B11" s="47">
        <f>Proforma!F94</f>
        <v>2815000</v>
      </c>
      <c r="C11" s="671"/>
      <c r="D11" s="642" t="s">
        <v>59</v>
      </c>
      <c r="E11" s="673">
        <f t="shared" ref="E11:J11" ca="1" si="2">E6+E9</f>
        <v>-43572.801988743129</v>
      </c>
      <c r="F11" s="673">
        <f t="shared" ca="1" si="2"/>
        <v>65990.056011256936</v>
      </c>
      <c r="G11" s="673">
        <f t="shared" ca="1" si="2"/>
        <v>191429.4721712569</v>
      </c>
      <c r="H11" s="673">
        <f t="shared" ca="1" si="2"/>
        <v>323224.77765445679</v>
      </c>
      <c r="I11" s="673">
        <f t="shared" ca="1" si="2"/>
        <v>455001.67024732073</v>
      </c>
      <c r="J11" s="673">
        <f t="shared" ca="1" si="2"/>
        <v>137895.57662283455</v>
      </c>
    </row>
    <row r="12" spans="1:10" ht="14" thickBot="1" x14ac:dyDescent="0.2">
      <c r="A12" s="49" t="s">
        <v>48</v>
      </c>
      <c r="B12" s="742">
        <f>SUM(B10:B11)</f>
        <v>4503406</v>
      </c>
      <c r="C12" s="677"/>
      <c r="D12" s="642" t="s">
        <v>60</v>
      </c>
      <c r="E12" s="12">
        <f>Proforma!F107</f>
        <v>0</v>
      </c>
      <c r="F12" s="12">
        <f>Proforma!G107</f>
        <v>0</v>
      </c>
      <c r="G12" s="12">
        <f>Proforma!H107</f>
        <v>0</v>
      </c>
      <c r="H12" s="12">
        <f>Proforma!I107</f>
        <v>0</v>
      </c>
      <c r="I12" s="12">
        <f>Proforma!J107</f>
        <v>0</v>
      </c>
      <c r="J12" s="12">
        <f>Proforma!K107</f>
        <v>0</v>
      </c>
    </row>
    <row r="13" spans="1:10" ht="14" thickTop="1" x14ac:dyDescent="0.15">
      <c r="A13" s="671"/>
      <c r="B13" s="671"/>
      <c r="C13" s="677"/>
      <c r="D13" s="642" t="s">
        <v>61</v>
      </c>
      <c r="E13" s="12">
        <f>Proforma!F115</f>
        <v>0</v>
      </c>
      <c r="F13" s="12">
        <f>Proforma!G115</f>
        <v>0</v>
      </c>
      <c r="G13" s="12">
        <f>Proforma!H115</f>
        <v>0</v>
      </c>
      <c r="H13" s="12">
        <f>Proforma!I115</f>
        <v>0</v>
      </c>
      <c r="I13" s="12">
        <f ca="1">Proforma!J115</f>
        <v>5080403.9485549368</v>
      </c>
      <c r="J13" s="12">
        <f>Proforma!K115</f>
        <v>0</v>
      </c>
    </row>
    <row r="14" spans="1:10" ht="14" thickBot="1" x14ac:dyDescent="0.2">
      <c r="A14" s="642" t="s">
        <v>51</v>
      </c>
      <c r="B14" s="675">
        <f>B6</f>
        <v>2221593.8119999999</v>
      </c>
      <c r="C14" s="677"/>
      <c r="D14" s="743" t="s">
        <v>62</v>
      </c>
      <c r="E14" s="744">
        <f ca="1">SUM(E11:E13)</f>
        <v>-43572.801988743129</v>
      </c>
      <c r="F14" s="744">
        <f t="shared" ref="F14:I14" ca="1" si="3">SUM(F11:F13)</f>
        <v>65990.056011256936</v>
      </c>
      <c r="G14" s="744">
        <f t="shared" ca="1" si="3"/>
        <v>191429.4721712569</v>
      </c>
      <c r="H14" s="744">
        <f t="shared" ca="1" si="3"/>
        <v>323224.77765445679</v>
      </c>
      <c r="I14" s="744">
        <f t="shared" ca="1" si="3"/>
        <v>5535405.6188022578</v>
      </c>
      <c r="J14" s="744">
        <f t="shared" ref="J14" ca="1" si="4">SUM(J11:J13)</f>
        <v>137895.57662283455</v>
      </c>
    </row>
    <row r="15" spans="1:10" ht="15" thickTop="1" thickBot="1" x14ac:dyDescent="0.2">
      <c r="A15" s="49" t="s">
        <v>63</v>
      </c>
      <c r="B15" s="742">
        <f>B10+B14</f>
        <v>3909999.8119999999</v>
      </c>
      <c r="C15" s="677"/>
      <c r="D15" s="671"/>
      <c r="E15" s="671"/>
      <c r="F15" s="671"/>
      <c r="G15" s="671"/>
      <c r="H15" s="671"/>
      <c r="I15" s="671"/>
      <c r="J15" s="671"/>
    </row>
    <row r="16" spans="1:10" ht="14" thickTop="1" x14ac:dyDescent="0.15">
      <c r="A16" s="44"/>
      <c r="B16" s="44"/>
      <c r="C16" s="677"/>
      <c r="D16" s="22" t="s">
        <v>64</v>
      </c>
      <c r="E16" s="58">
        <f ca="1">Proforma!F132</f>
        <v>10652.798011256869</v>
      </c>
      <c r="F16" s="58">
        <f ca="1">Proforma!G132</f>
        <v>120215.65601125683</v>
      </c>
      <c r="G16" s="58">
        <f ca="1">Proforma!H132</f>
        <v>245655.07217125685</v>
      </c>
      <c r="H16" s="58">
        <f ca="1">Proforma!I132</f>
        <v>377450.37765445677</v>
      </c>
      <c r="I16" s="58">
        <f ca="1">Proforma!J132</f>
        <v>4880310.5416388158</v>
      </c>
      <c r="J16" s="58">
        <f ca="1">Proforma!K132</f>
        <v>68947.788311417273</v>
      </c>
    </row>
    <row r="17" spans="1:10" x14ac:dyDescent="0.15">
      <c r="A17" s="671" t="s">
        <v>65</v>
      </c>
      <c r="B17" s="674">
        <f>Proforma!D17</f>
        <v>278</v>
      </c>
      <c r="C17" s="677"/>
      <c r="D17" s="56" t="s">
        <v>66</v>
      </c>
      <c r="E17" s="57">
        <f ca="1">E16/$B$15</f>
        <v>2.7245009011414422E-3</v>
      </c>
      <c r="F17" s="57">
        <f t="shared" ref="F17:I17" ca="1" si="5">F16/$B$15</f>
        <v>3.07456935527998E-2</v>
      </c>
      <c r="G17" s="57">
        <f t="shared" ca="1" si="5"/>
        <v>6.2827387207878685E-2</v>
      </c>
      <c r="H17" s="57">
        <f t="shared" ca="1" si="5"/>
        <v>9.6534628082600216E-2</v>
      </c>
      <c r="I17" s="57">
        <f t="shared" ca="1" si="5"/>
        <v>1.2481613238601392</v>
      </c>
      <c r="J17" s="57">
        <f t="shared" ref="J17" ca="1" si="6">J16/$B$15</f>
        <v>1.7633706298351422E-2</v>
      </c>
    </row>
    <row r="18" spans="1:10" x14ac:dyDescent="0.15">
      <c r="A18" s="671" t="s">
        <v>67</v>
      </c>
      <c r="B18" s="678">
        <f>B5/B17</f>
        <v>16199.302158273382</v>
      </c>
      <c r="C18" s="677"/>
      <c r="D18" s="671"/>
      <c r="E18" s="671"/>
      <c r="F18" s="671"/>
      <c r="G18" s="671"/>
      <c r="H18" s="671"/>
      <c r="I18" s="671"/>
      <c r="J18" s="671"/>
    </row>
    <row r="19" spans="1:10" x14ac:dyDescent="0.15">
      <c r="A19" s="671"/>
      <c r="B19" s="671"/>
      <c r="C19" s="677"/>
      <c r="D19" s="671"/>
      <c r="E19" s="671"/>
      <c r="F19" s="671"/>
      <c r="G19" s="671"/>
      <c r="H19" s="671"/>
      <c r="I19" s="671"/>
      <c r="J19" s="671"/>
    </row>
    <row r="20" spans="1:10" x14ac:dyDescent="0.15">
      <c r="A20" s="42" t="s">
        <v>68</v>
      </c>
      <c r="B20" s="42"/>
      <c r="C20" s="677"/>
      <c r="D20" s="671"/>
      <c r="E20" s="671"/>
      <c r="F20" s="671"/>
      <c r="G20" s="671"/>
      <c r="H20" s="671"/>
      <c r="I20" s="671"/>
      <c r="J20" s="671"/>
    </row>
    <row r="21" spans="1:10" x14ac:dyDescent="0.15">
      <c r="A21" s="44" t="s">
        <v>69</v>
      </c>
      <c r="B21" s="50">
        <f ca="1">Proforma!D136</f>
        <v>0.14410642942455043</v>
      </c>
      <c r="C21" s="677"/>
      <c r="D21" s="671"/>
      <c r="E21" s="671"/>
      <c r="F21" s="671"/>
      <c r="G21" s="671"/>
      <c r="H21" s="671"/>
      <c r="I21" s="671"/>
      <c r="J21" s="671"/>
    </row>
    <row r="22" spans="1:10" x14ac:dyDescent="0.15">
      <c r="A22" s="44" t="s">
        <v>70</v>
      </c>
      <c r="B22" s="51">
        <f ca="1">SUM(Proforma!F132:J132)/-Proforma!E132</f>
        <v>1.4409935336045594</v>
      </c>
      <c r="C22" s="677"/>
      <c r="D22" s="671"/>
      <c r="E22" s="671"/>
      <c r="F22" s="671"/>
      <c r="G22" s="671"/>
      <c r="H22" s="671"/>
      <c r="I22" s="671"/>
      <c r="J22" s="671"/>
    </row>
    <row r="23" spans="1:10" x14ac:dyDescent="0.15">
      <c r="A23" s="671" t="s">
        <v>71</v>
      </c>
      <c r="B23" s="673">
        <f ca="1">SUM(E16:I16)</f>
        <v>5634284.4454870429</v>
      </c>
      <c r="C23" s="677"/>
      <c r="D23" s="671"/>
      <c r="E23" s="671"/>
      <c r="F23" s="671"/>
      <c r="G23" s="671"/>
      <c r="H23" s="671"/>
      <c r="I23" s="671"/>
      <c r="J23" s="671"/>
    </row>
    <row r="24" spans="1:10" x14ac:dyDescent="0.15">
      <c r="A24" s="671"/>
      <c r="B24" s="671"/>
      <c r="C24" s="672"/>
      <c r="D24" s="671"/>
      <c r="E24" s="671"/>
      <c r="F24" s="671"/>
      <c r="G24" s="671"/>
      <c r="H24" s="671"/>
      <c r="I24" s="671"/>
      <c r="J24" s="671"/>
    </row>
    <row r="25" spans="1:10" x14ac:dyDescent="0.15">
      <c r="A25" s="671"/>
      <c r="B25" s="671"/>
      <c r="C25" s="677"/>
      <c r="D25" s="671"/>
      <c r="E25" s="671"/>
      <c r="F25" s="671"/>
      <c r="G25" s="671"/>
      <c r="H25" s="671"/>
      <c r="I25" s="671"/>
      <c r="J25" s="671"/>
    </row>
    <row r="26" spans="1:10" x14ac:dyDescent="0.15">
      <c r="A26" s="671"/>
      <c r="B26" s="671"/>
      <c r="C26" s="677"/>
      <c r="D26" s="671"/>
      <c r="E26" s="671"/>
      <c r="F26" s="671"/>
      <c r="G26" s="671"/>
      <c r="H26" s="671"/>
      <c r="I26" s="671"/>
      <c r="J26" s="671"/>
    </row>
    <row r="27" spans="1:10" x14ac:dyDescent="0.15">
      <c r="A27" s="671"/>
      <c r="B27" s="671"/>
      <c r="C27" s="677"/>
      <c r="D27" s="671"/>
      <c r="E27" s="671"/>
      <c r="F27" s="671"/>
      <c r="G27" s="671"/>
      <c r="H27" s="671"/>
      <c r="I27" s="671"/>
      <c r="J27" s="671"/>
    </row>
  </sheetData>
  <sheetProtection algorithmName="SHA-512" hashValue="S1ZWJrZCVXWLXvY36OiM83CUhJZBtbyhqSJ+V8WXDlqoBl/f7V+wvyDQyExyb9LklnD4i95ylgMfTyUcB0hXqA==" saltValue="BrXXF3vOVS3WZ1tw3qm1Dw==" spinCount="100000" sheet="1" objects="1" scenarios="1"/>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2060"/>
  </sheetPr>
  <dimension ref="A1"/>
  <sheetViews>
    <sheetView workbookViewId="0">
      <selection activeCell="AA30" sqref="AA30"/>
    </sheetView>
  </sheetViews>
  <sheetFormatPr baseColWidth="10" defaultColWidth="8.83203125" defaultRowHeight="13" x14ac:dyDescent="0.15"/>
  <cols>
    <col min="1" max="16384" width="8.83203125" style="88"/>
  </cols>
  <sheetData>
    <row r="1" spans="1:1" s="90" customFormat="1" ht="23" customHeight="1" x14ac:dyDescent="0.15">
      <c r="A1" s="89" t="str">
        <f>Proforma!C1</f>
        <v>Timberline Estates - 14876 Washington Road, West Burlington, IA 52655</v>
      </c>
    </row>
  </sheetData>
  <sheetProtection algorithmName="SHA-512" hashValue="gUum9vKlmTY3rX/nYZxPDU3d9PdKEcJROmyB/bVfWuTDUwfd/+eJdxSiD26+Ay+wIFR9uZcnbhVzsUoYIW9e5A==" saltValue="C/om4T4HTI/VjNqxqomQXQ=="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2060"/>
    <pageSetUpPr fitToPage="1"/>
  </sheetPr>
  <dimension ref="A1:BZ386"/>
  <sheetViews>
    <sheetView topLeftCell="B1" zoomScale="80" zoomScaleNormal="80" workbookViewId="0">
      <selection activeCell="C1" sqref="C1"/>
    </sheetView>
  </sheetViews>
  <sheetFormatPr baseColWidth="10" defaultColWidth="12.1640625" defaultRowHeight="13" x14ac:dyDescent="0.15"/>
  <cols>
    <col min="1" max="1" width="15.83203125" style="10" hidden="1" customWidth="1"/>
    <col min="2" max="2" width="9.1640625" style="490" customWidth="1"/>
    <col min="3" max="3" width="54.1640625" style="10" bestFit="1" customWidth="1"/>
    <col min="4" max="4" width="14.5" style="9" customWidth="1"/>
    <col min="5" max="5" width="16.5" style="10" bestFit="1" customWidth="1"/>
    <col min="6" max="6" width="12.1640625" style="10" customWidth="1"/>
    <col min="7" max="7" width="15.1640625" style="10" customWidth="1"/>
    <col min="8" max="8" width="12.1640625" style="10" customWidth="1"/>
    <col min="9" max="9" width="14" style="10" customWidth="1"/>
    <col min="10" max="10" width="14.83203125" style="10" customWidth="1"/>
    <col min="11" max="12" width="14.5" style="10" customWidth="1"/>
    <col min="13" max="13" width="13.83203125" style="10" customWidth="1"/>
    <col min="14" max="14" width="15.1640625" style="10" customWidth="1"/>
    <col min="15" max="17" width="13.1640625" style="10" customWidth="1"/>
    <col min="18" max="18" width="12.1640625" style="10" customWidth="1"/>
    <col min="19" max="23" width="12.83203125" style="10" customWidth="1"/>
    <col min="24" max="24" width="14" style="10" customWidth="1"/>
    <col min="25" max="35" width="12.83203125" style="10" customWidth="1"/>
    <col min="36" max="36" width="16.1640625" style="10" bestFit="1" customWidth="1"/>
    <col min="37" max="16384" width="12.1640625" style="10"/>
  </cols>
  <sheetData>
    <row r="1" spans="3:25" ht="15" x14ac:dyDescent="0.2">
      <c r="C1" s="11" t="s">
        <v>72</v>
      </c>
      <c r="D1" s="869" t="str">
        <f>HYPERLINK("http://maps.google.com/maps?q="&amp;T1,"View on Google Map")</f>
        <v>View on Google Map</v>
      </c>
      <c r="E1" s="869"/>
      <c r="F1" s="633"/>
      <c r="G1" s="633"/>
      <c r="H1" s="633"/>
      <c r="I1" s="633"/>
      <c r="J1" s="633"/>
      <c r="K1" s="633"/>
      <c r="L1" s="633"/>
      <c r="M1" s="633"/>
      <c r="N1" s="633"/>
      <c r="O1" s="633"/>
      <c r="P1" s="633"/>
      <c r="Q1" s="633"/>
      <c r="R1" s="633"/>
      <c r="S1" s="633"/>
      <c r="T1" s="369" t="str">
        <f>RIGHT(C1,LEN(C1)-SEARCH("-",C1))</f>
        <v xml:space="preserve"> 14876 Washington Road, West Burlington, IA 52655</v>
      </c>
      <c r="U1" s="369" t="str">
        <f>LEFT(C1,FIND("-",C1)-1)</f>
        <v xml:space="preserve">Timberline Estates </v>
      </c>
      <c r="V1" s="370" t="s">
        <v>73</v>
      </c>
      <c r="W1" s="369"/>
      <c r="X1" s="369"/>
      <c r="Y1" s="633"/>
    </row>
    <row r="2" spans="3:25" ht="15" x14ac:dyDescent="0.2">
      <c r="C2" s="11" t="s">
        <v>74</v>
      </c>
      <c r="D2" s="869" t="str">
        <f>HYPERLINK("http://maps.google.com/maps?q="&amp;T2,"View on Google Map")</f>
        <v>View on Google Map</v>
      </c>
      <c r="E2" s="869"/>
      <c r="F2" s="633"/>
      <c r="G2" s="633"/>
      <c r="H2" s="633"/>
      <c r="I2" s="633"/>
      <c r="J2" s="633"/>
      <c r="K2" s="633"/>
      <c r="L2" s="633"/>
      <c r="M2" s="633"/>
      <c r="N2" s="633"/>
      <c r="O2" s="633"/>
      <c r="P2" s="633"/>
      <c r="Q2" s="633"/>
      <c r="R2" s="633"/>
      <c r="S2" s="633"/>
      <c r="T2" s="369"/>
      <c r="U2" s="369"/>
      <c r="V2" s="370"/>
      <c r="W2" s="369"/>
      <c r="X2" s="369"/>
      <c r="Y2" s="633"/>
    </row>
    <row r="3" spans="3:25" ht="15" x14ac:dyDescent="0.2">
      <c r="C3" s="11" t="s">
        <v>75</v>
      </c>
      <c r="D3" s="869" t="str">
        <f>HYPERLINK("http://maps.google.com/maps?q="&amp;T3,"View on Google Map")</f>
        <v>View on Google Map</v>
      </c>
      <c r="E3" s="869"/>
      <c r="F3" s="633"/>
      <c r="G3" s="633"/>
      <c r="H3" s="633"/>
      <c r="I3" s="633"/>
      <c r="J3" s="633"/>
      <c r="K3" s="633"/>
      <c r="L3" s="633"/>
      <c r="M3" s="633"/>
      <c r="N3" s="633"/>
      <c r="O3" s="633"/>
      <c r="P3" s="633"/>
      <c r="Q3" s="633"/>
      <c r="R3" s="633"/>
      <c r="S3" s="633"/>
      <c r="T3" s="369"/>
      <c r="U3" s="369"/>
      <c r="V3" s="370"/>
      <c r="W3" s="369"/>
      <c r="X3" s="369"/>
      <c r="Y3" s="633"/>
    </row>
    <row r="4" spans="3:25" x14ac:dyDescent="0.15">
      <c r="C4" s="633"/>
      <c r="D4" s="17"/>
      <c r="E4" s="633"/>
      <c r="F4" s="633"/>
      <c r="G4" s="633"/>
      <c r="H4" s="633"/>
      <c r="I4" s="633"/>
      <c r="J4" s="633"/>
      <c r="K4" s="633"/>
      <c r="L4" s="633"/>
      <c r="M4" s="633"/>
      <c r="N4" s="633"/>
      <c r="O4" s="633"/>
      <c r="P4" s="633"/>
      <c r="Q4" s="633"/>
      <c r="R4" s="633"/>
      <c r="S4" s="633"/>
      <c r="T4" s="369"/>
      <c r="U4" s="369"/>
      <c r="V4" s="369"/>
      <c r="W4" s="369"/>
      <c r="X4" s="369"/>
      <c r="Y4" s="633"/>
    </row>
    <row r="5" spans="3:25" x14ac:dyDescent="0.15">
      <c r="C5" s="6" t="s">
        <v>76</v>
      </c>
      <c r="D5" s="6"/>
      <c r="E5" s="30" t="s">
        <v>77</v>
      </c>
      <c r="F5" s="633"/>
      <c r="G5" s="633"/>
      <c r="H5" s="6" t="s">
        <v>78</v>
      </c>
      <c r="I5" s="6"/>
      <c r="J5" s="6"/>
      <c r="K5" s="6"/>
      <c r="L5" s="6"/>
      <c r="M5" s="6"/>
      <c r="N5" s="6"/>
      <c r="O5" s="227"/>
      <c r="P5" s="11"/>
      <c r="Q5" s="633"/>
      <c r="R5" s="633"/>
      <c r="S5" s="633"/>
      <c r="T5" s="369"/>
      <c r="U5" s="369"/>
      <c r="V5" s="369"/>
      <c r="W5" s="369"/>
      <c r="X5" s="369"/>
      <c r="Y5" s="633"/>
    </row>
    <row r="6" spans="3:25" x14ac:dyDescent="0.15">
      <c r="C6" s="642" t="s">
        <v>43</v>
      </c>
      <c r="D6" s="157">
        <v>4503406</v>
      </c>
      <c r="E6" s="643">
        <f>D6/$D$17</f>
        <v>16199.302158273382</v>
      </c>
      <c r="F6" s="633"/>
      <c r="G6" s="633"/>
      <c r="H6" s="633" t="s">
        <v>79</v>
      </c>
      <c r="I6" s="679"/>
      <c r="J6" s="156">
        <v>0.02</v>
      </c>
      <c r="K6" s="633"/>
      <c r="L6" s="679" t="s">
        <v>80</v>
      </c>
      <c r="M6" s="633"/>
      <c r="N6" s="506" t="s">
        <v>81</v>
      </c>
      <c r="O6" s="227"/>
      <c r="P6" s="633"/>
      <c r="Q6" s="633"/>
      <c r="R6" s="633"/>
      <c r="S6" s="633"/>
      <c r="T6" s="369">
        <v>0</v>
      </c>
      <c r="U6" s="371">
        <v>2017</v>
      </c>
      <c r="V6" s="369">
        <v>0</v>
      </c>
      <c r="W6" s="369">
        <v>1</v>
      </c>
      <c r="X6" s="369">
        <v>2</v>
      </c>
      <c r="Y6" s="633">
        <v>4</v>
      </c>
    </row>
    <row r="7" spans="3:25" x14ac:dyDescent="0.15">
      <c r="C7" s="636" t="s">
        <v>82</v>
      </c>
      <c r="D7" s="18">
        <f>+Notes!C30</f>
        <v>2221593.8119999999</v>
      </c>
      <c r="E7" s="680">
        <f t="shared" ref="E7:E8" si="0">D7/$D$17</f>
        <v>7991.3446474820139</v>
      </c>
      <c r="F7" s="633"/>
      <c r="G7" s="633"/>
      <c r="H7" s="633" t="s">
        <v>83</v>
      </c>
      <c r="I7" s="679"/>
      <c r="J7" s="156">
        <v>0.05</v>
      </c>
      <c r="K7" s="633"/>
      <c r="L7" s="633" t="s">
        <v>84</v>
      </c>
      <c r="M7" s="633"/>
      <c r="N7" s="352" t="s">
        <v>85</v>
      </c>
      <c r="O7" s="633"/>
      <c r="P7" s="633"/>
      <c r="Q7" s="633"/>
      <c r="R7" s="633"/>
      <c r="S7" s="633"/>
      <c r="T7" s="369">
        <v>1</v>
      </c>
      <c r="U7" s="371" t="s">
        <v>81</v>
      </c>
      <c r="V7" s="369"/>
      <c r="W7" s="369"/>
      <c r="X7" s="369"/>
      <c r="Y7" s="633"/>
    </row>
    <row r="8" spans="3:25" ht="14" thickBot="1" x14ac:dyDescent="0.2">
      <c r="C8" s="739" t="s">
        <v>86</v>
      </c>
      <c r="D8" s="745">
        <f>SUM(D6:D7)</f>
        <v>6724999.8119999999</v>
      </c>
      <c r="E8" s="746">
        <f t="shared" si="0"/>
        <v>24190.646805755394</v>
      </c>
      <c r="F8" s="633"/>
      <c r="G8" s="681"/>
      <c r="H8" s="633" t="s">
        <v>87</v>
      </c>
      <c r="I8" s="679"/>
      <c r="J8" s="158">
        <v>1750</v>
      </c>
      <c r="K8" s="633"/>
      <c r="L8" s="633" t="s">
        <v>88</v>
      </c>
      <c r="M8" s="634"/>
      <c r="N8" s="635">
        <v>0</v>
      </c>
      <c r="O8" s="633"/>
      <c r="P8" s="633"/>
      <c r="Q8" s="633"/>
      <c r="R8" s="633"/>
      <c r="S8" s="633"/>
      <c r="T8" s="369">
        <v>2</v>
      </c>
      <c r="U8" s="371" t="s">
        <v>89</v>
      </c>
      <c r="V8" s="369"/>
      <c r="W8" s="369"/>
      <c r="X8" s="369"/>
      <c r="Y8" s="633"/>
    </row>
    <row r="9" spans="3:25" ht="14" thickTop="1" x14ac:dyDescent="0.15">
      <c r="C9" s="671" t="s">
        <v>90</v>
      </c>
      <c r="D9" s="27">
        <f ca="1">E167</f>
        <v>2.032753722253933E-2</v>
      </c>
      <c r="E9" s="19"/>
      <c r="F9" s="633"/>
      <c r="G9" s="633"/>
      <c r="H9" s="633" t="s">
        <v>91</v>
      </c>
      <c r="I9" s="633"/>
      <c r="J9" s="239">
        <v>20</v>
      </c>
      <c r="K9" s="633"/>
      <c r="L9" s="633" t="s">
        <v>92</v>
      </c>
      <c r="M9" s="633"/>
      <c r="N9" s="635">
        <v>0</v>
      </c>
      <c r="O9" s="633"/>
      <c r="P9" s="633"/>
      <c r="Q9" s="633"/>
      <c r="R9" s="633"/>
      <c r="S9" s="633"/>
      <c r="T9" s="369">
        <v>4</v>
      </c>
      <c r="U9" s="371" t="s">
        <v>93</v>
      </c>
      <c r="V9" s="369"/>
      <c r="W9" s="369"/>
      <c r="X9" s="369"/>
      <c r="Y9" s="633"/>
    </row>
    <row r="10" spans="3:25" x14ac:dyDescent="0.15">
      <c r="C10" s="633" t="s">
        <v>94</v>
      </c>
      <c r="D10" s="27">
        <f ca="1">F87/(D6+D7)</f>
        <v>2.2696952902160172E-2</v>
      </c>
      <c r="E10" s="633"/>
      <c r="F10" s="633"/>
      <c r="G10" s="633"/>
      <c r="H10" s="633" t="s">
        <v>95</v>
      </c>
      <c r="I10" s="633"/>
      <c r="J10" s="158">
        <v>200</v>
      </c>
      <c r="K10" s="682" t="s">
        <v>96</v>
      </c>
      <c r="L10" s="633" t="s">
        <v>97</v>
      </c>
      <c r="M10" s="633"/>
      <c r="N10" s="635">
        <v>0</v>
      </c>
      <c r="O10" s="633"/>
      <c r="P10" s="633"/>
      <c r="Q10" s="633"/>
      <c r="R10" s="633"/>
      <c r="S10" s="633"/>
      <c r="T10" s="633"/>
      <c r="U10" s="633"/>
      <c r="V10" s="633"/>
      <c r="W10" s="633"/>
      <c r="X10" s="633"/>
      <c r="Y10" s="633"/>
    </row>
    <row r="11" spans="3:25" x14ac:dyDescent="0.15">
      <c r="C11" s="633" t="s">
        <v>98</v>
      </c>
      <c r="D11" s="27">
        <f>E104</f>
        <v>5.5E-2</v>
      </c>
      <c r="E11" s="633"/>
      <c r="F11" s="633"/>
      <c r="G11" s="633"/>
      <c r="H11" s="633"/>
      <c r="I11" s="633"/>
      <c r="J11" s="633"/>
      <c r="K11" s="633"/>
      <c r="L11" s="633" t="s">
        <v>99</v>
      </c>
      <c r="M11" s="633"/>
      <c r="N11" s="635">
        <v>0</v>
      </c>
      <c r="O11" s="633"/>
      <c r="P11" s="633"/>
      <c r="Q11" s="633"/>
      <c r="R11" s="633"/>
      <c r="S11" s="633"/>
      <c r="T11" s="633"/>
      <c r="U11" s="633"/>
      <c r="V11" s="633"/>
      <c r="W11" s="633"/>
      <c r="X11" s="633"/>
      <c r="Y11" s="633"/>
    </row>
    <row r="12" spans="3:25" x14ac:dyDescent="0.15">
      <c r="C12" s="633" t="s">
        <v>100</v>
      </c>
      <c r="D12" s="627">
        <f>+E6/F31/100</f>
        <v>0.6611960064601381</v>
      </c>
      <c r="E12" s="633"/>
      <c r="F12" s="633"/>
      <c r="G12" s="633"/>
      <c r="H12" s="633"/>
      <c r="I12" s="633"/>
      <c r="J12" s="633"/>
      <c r="K12" s="633"/>
      <c r="L12" s="633"/>
      <c r="M12" s="633"/>
      <c r="N12" s="633"/>
      <c r="O12" s="633"/>
      <c r="P12" s="633"/>
      <c r="Q12" s="633"/>
      <c r="R12" s="633"/>
      <c r="S12" s="633"/>
      <c r="T12" s="633"/>
      <c r="U12" s="633"/>
      <c r="V12" s="633"/>
      <c r="W12" s="633"/>
      <c r="X12" s="633"/>
      <c r="Y12" s="633"/>
    </row>
    <row r="13" spans="3:25" x14ac:dyDescent="0.15">
      <c r="C13" s="61" t="s">
        <v>65</v>
      </c>
      <c r="D13" s="62" t="s">
        <v>48</v>
      </c>
      <c r="E13" s="62" t="s">
        <v>101</v>
      </c>
      <c r="F13" s="62" t="s">
        <v>102</v>
      </c>
      <c r="G13" s="62" t="s">
        <v>103</v>
      </c>
      <c r="H13" s="633"/>
      <c r="I13" s="633"/>
      <c r="J13" s="633"/>
      <c r="K13" s="633"/>
      <c r="L13" s="633"/>
      <c r="M13" s="633"/>
      <c r="N13" s="633"/>
      <c r="O13" s="633"/>
      <c r="P13" s="633"/>
      <c r="Q13" s="633"/>
      <c r="R13" s="633"/>
      <c r="S13" s="633"/>
      <c r="T13" s="633"/>
      <c r="U13" s="633"/>
      <c r="V13" s="633"/>
      <c r="W13" s="633"/>
      <c r="X13" s="633"/>
      <c r="Y13" s="633"/>
    </row>
    <row r="14" spans="3:25" x14ac:dyDescent="0.15">
      <c r="C14" s="642" t="s">
        <v>104</v>
      </c>
      <c r="D14" s="352">
        <v>207</v>
      </c>
      <c r="E14" s="352">
        <v>107</v>
      </c>
      <c r="F14" s="683">
        <f>D14-E14</f>
        <v>100</v>
      </c>
      <c r="G14" s="684">
        <f>F14/D14</f>
        <v>0.48309178743961351</v>
      </c>
      <c r="H14" s="633"/>
      <c r="I14" s="633"/>
      <c r="J14" s="633"/>
      <c r="K14" s="633"/>
      <c r="L14" s="633"/>
      <c r="M14" s="633"/>
      <c r="N14" s="633"/>
      <c r="O14" s="633"/>
      <c r="P14" s="633"/>
      <c r="Q14" s="633"/>
      <c r="R14" s="633"/>
      <c r="S14" s="633"/>
      <c r="T14" s="633"/>
      <c r="U14" s="633"/>
      <c r="V14" s="633"/>
      <c r="W14" s="633"/>
      <c r="X14" s="633"/>
      <c r="Y14" s="633"/>
    </row>
    <row r="15" spans="3:25" x14ac:dyDescent="0.15">
      <c r="C15" s="642" t="s">
        <v>105</v>
      </c>
      <c r="D15" s="352">
        <v>30</v>
      </c>
      <c r="E15" s="352">
        <v>6</v>
      </c>
      <c r="F15" s="683">
        <f>D15-E15</f>
        <v>24</v>
      </c>
      <c r="G15" s="684">
        <f>IF(ISERROR((F15/D15)),"-",(F15/D15))</f>
        <v>0.8</v>
      </c>
      <c r="H15" s="633"/>
      <c r="I15" s="633"/>
      <c r="J15" s="633"/>
      <c r="K15" s="633"/>
      <c r="L15" s="633"/>
      <c r="M15" s="633"/>
      <c r="N15" s="633"/>
      <c r="O15" s="633"/>
      <c r="P15" s="633"/>
      <c r="Q15" s="633"/>
      <c r="R15" s="633"/>
      <c r="S15" s="633"/>
      <c r="T15" s="633"/>
      <c r="U15" s="633"/>
      <c r="V15" s="633"/>
      <c r="W15" s="633"/>
      <c r="X15" s="633"/>
      <c r="Y15" s="633"/>
    </row>
    <row r="16" spans="3:25" x14ac:dyDescent="0.15">
      <c r="C16" s="642" t="s">
        <v>106</v>
      </c>
      <c r="D16" s="352">
        <v>41</v>
      </c>
      <c r="E16" s="352">
        <v>19</v>
      </c>
      <c r="F16" s="683">
        <f>D16-E16</f>
        <v>22</v>
      </c>
      <c r="G16" s="684">
        <f>IF(ISERROR((F16/D16)),"-",(F16/D16))</f>
        <v>0.53658536585365857</v>
      </c>
      <c r="H16" s="633"/>
      <c r="I16" s="633"/>
      <c r="J16" s="633"/>
      <c r="K16" s="633"/>
      <c r="L16" s="633"/>
      <c r="M16" s="633"/>
      <c r="N16" s="633"/>
      <c r="O16" s="633"/>
      <c r="P16" s="633"/>
      <c r="Q16" s="633"/>
      <c r="R16" s="633"/>
      <c r="S16" s="633"/>
      <c r="T16" s="633"/>
      <c r="U16" s="633"/>
      <c r="V16" s="633"/>
      <c r="W16" s="633"/>
      <c r="X16" s="633"/>
      <c r="Y16" s="633"/>
    </row>
    <row r="17" spans="1:36" x14ac:dyDescent="0.15">
      <c r="A17" s="633"/>
      <c r="C17" s="61" t="s">
        <v>48</v>
      </c>
      <c r="D17" s="62">
        <f>SUM(D14:D16)</f>
        <v>278</v>
      </c>
      <c r="E17" s="62">
        <f>SUM(E14:E16)</f>
        <v>132</v>
      </c>
      <c r="F17" s="685">
        <f t="shared" ref="F17" si="1">D17-E17</f>
        <v>146</v>
      </c>
      <c r="G17" s="81">
        <f>F17/D17</f>
        <v>0.52517985611510787</v>
      </c>
      <c r="H17" s="633"/>
      <c r="I17" s="633"/>
      <c r="J17" s="633"/>
      <c r="K17" s="633"/>
      <c r="L17" s="633"/>
      <c r="M17" s="633"/>
      <c r="N17" s="633"/>
      <c r="O17" s="633"/>
      <c r="P17" s="633"/>
      <c r="Q17" s="633"/>
      <c r="R17" s="633"/>
      <c r="S17" s="633"/>
      <c r="T17" s="633"/>
      <c r="U17" s="633"/>
      <c r="V17" s="633"/>
      <c r="W17" s="633"/>
      <c r="X17" s="633"/>
      <c r="Y17" s="633"/>
      <c r="Z17" s="633"/>
      <c r="AA17" s="633"/>
      <c r="AB17" s="633"/>
      <c r="AC17" s="633"/>
      <c r="AD17" s="633"/>
      <c r="AE17" s="633"/>
      <c r="AF17" s="633"/>
      <c r="AG17" s="633"/>
      <c r="AH17" s="633"/>
      <c r="AI17" s="633"/>
      <c r="AJ17" s="633"/>
    </row>
    <row r="18" spans="1:36" x14ac:dyDescent="0.15">
      <c r="A18" s="633"/>
      <c r="C18" s="642"/>
      <c r="D18" s="63"/>
      <c r="E18" s="63"/>
      <c r="F18" s="683"/>
      <c r="G18" s="633"/>
      <c r="H18" s="633"/>
      <c r="I18" s="633"/>
      <c r="J18" s="633"/>
      <c r="K18" s="633"/>
      <c r="L18" s="633"/>
      <c r="M18" s="633"/>
      <c r="N18" s="633"/>
      <c r="O18" s="633"/>
      <c r="P18" s="633"/>
      <c r="Q18" s="633"/>
      <c r="R18" s="633"/>
      <c r="S18" s="633"/>
      <c r="T18" s="633"/>
      <c r="U18" s="633"/>
      <c r="V18" s="633"/>
      <c r="W18" s="633"/>
      <c r="X18" s="633"/>
      <c r="Y18" s="633"/>
      <c r="Z18" s="633"/>
      <c r="AA18" s="633"/>
      <c r="AB18" s="633"/>
      <c r="AC18" s="633"/>
      <c r="AD18" s="633"/>
      <c r="AE18" s="633"/>
      <c r="AF18" s="633"/>
      <c r="AG18" s="633"/>
      <c r="AH18" s="633"/>
      <c r="AI18" s="633"/>
      <c r="AJ18" s="633"/>
    </row>
    <row r="19" spans="1:36" x14ac:dyDescent="0.15">
      <c r="A19" s="633"/>
      <c r="C19" s="642" t="s">
        <v>107</v>
      </c>
      <c r="D19" s="352">
        <v>28</v>
      </c>
      <c r="E19" s="352">
        <v>20</v>
      </c>
      <c r="F19" s="683">
        <f>D19-E19</f>
        <v>8</v>
      </c>
      <c r="G19" s="747">
        <f>D19</f>
        <v>28</v>
      </c>
      <c r="H19" s="748" t="s">
        <v>108</v>
      </c>
      <c r="I19" s="749"/>
      <c r="J19" s="633"/>
      <c r="K19" s="633"/>
      <c r="L19" s="633"/>
      <c r="M19" s="633"/>
      <c r="N19" s="633"/>
      <c r="O19" s="633"/>
      <c r="P19" s="633"/>
      <c r="Q19" s="633"/>
      <c r="R19" s="633"/>
      <c r="S19" s="633"/>
      <c r="T19" s="633"/>
      <c r="U19" s="633"/>
      <c r="V19" s="633"/>
      <c r="W19" s="633"/>
      <c r="X19" s="633"/>
      <c r="Y19" s="633"/>
      <c r="Z19" s="633"/>
      <c r="AA19" s="633"/>
      <c r="AB19" s="633"/>
      <c r="AC19" s="633"/>
      <c r="AD19" s="633"/>
      <c r="AE19" s="633"/>
      <c r="AF19" s="633"/>
      <c r="AG19" s="633"/>
      <c r="AH19" s="633"/>
      <c r="AI19" s="633"/>
      <c r="AJ19" s="633"/>
    </row>
    <row r="20" spans="1:36" ht="14" thickBot="1" x14ac:dyDescent="0.2">
      <c r="A20" s="633"/>
      <c r="C20" s="642"/>
      <c r="D20" s="63"/>
      <c r="E20" s="63"/>
      <c r="F20" s="63"/>
      <c r="G20" s="633"/>
      <c r="H20" s="633"/>
      <c r="I20" s="633"/>
      <c r="J20" s="633"/>
      <c r="K20" s="633"/>
      <c r="L20" s="633"/>
      <c r="M20" s="633"/>
      <c r="N20" s="633"/>
      <c r="O20" s="633"/>
      <c r="P20" s="633"/>
      <c r="Q20" s="633"/>
      <c r="R20" s="633"/>
      <c r="S20" s="633"/>
      <c r="T20" s="633"/>
      <c r="U20" s="633"/>
      <c r="V20" s="633"/>
      <c r="W20" s="633"/>
      <c r="X20" s="633"/>
      <c r="Y20" s="633"/>
      <c r="Z20" s="633"/>
      <c r="AA20" s="633"/>
      <c r="AB20" s="633"/>
      <c r="AC20" s="633"/>
      <c r="AD20" s="633"/>
      <c r="AE20" s="633"/>
      <c r="AF20" s="633"/>
      <c r="AG20" s="633"/>
      <c r="AH20" s="633"/>
      <c r="AI20" s="633"/>
      <c r="AJ20" s="633"/>
    </row>
    <row r="21" spans="1:36" ht="14" thickBot="1" x14ac:dyDescent="0.2">
      <c r="A21" s="633"/>
      <c r="C21" s="503" t="s">
        <v>109</v>
      </c>
      <c r="D21" s="507"/>
      <c r="E21" s="508" t="s">
        <v>110</v>
      </c>
      <c r="F21" s="508" t="s">
        <v>111</v>
      </c>
      <c r="G21" s="509" t="s">
        <v>112</v>
      </c>
      <c r="H21" s="633"/>
      <c r="I21" s="40" t="s">
        <v>113</v>
      </c>
      <c r="J21" s="40"/>
      <c r="K21" s="40"/>
      <c r="L21" s="633"/>
      <c r="M21" s="40" t="s">
        <v>114</v>
      </c>
      <c r="N21" s="40"/>
      <c r="O21" s="40"/>
      <c r="P21" s="633"/>
      <c r="Q21" s="633"/>
      <c r="R21" s="633"/>
      <c r="S21" s="633"/>
      <c r="T21" s="633"/>
      <c r="U21" s="633"/>
      <c r="V21" s="633"/>
      <c r="W21" s="633"/>
      <c r="X21" s="633"/>
      <c r="Y21" s="633"/>
      <c r="Z21" s="633"/>
      <c r="AA21" s="633"/>
      <c r="AB21" s="633"/>
      <c r="AC21" s="633"/>
      <c r="AD21" s="633"/>
      <c r="AE21" s="633"/>
      <c r="AF21" s="633"/>
      <c r="AG21" s="633"/>
      <c r="AH21" s="633"/>
      <c r="AI21" s="633"/>
      <c r="AJ21" s="633"/>
    </row>
    <row r="22" spans="1:36" ht="14" thickBot="1" x14ac:dyDescent="0.2">
      <c r="A22" s="633"/>
      <c r="C22" s="686" t="str">
        <f ca="1">"30 Year Lev IRR -   "&amp;TEXT(D119,"0.0%")</f>
        <v>30 Year Lev IRR -   18.0%</v>
      </c>
      <c r="D22" s="510" t="s">
        <v>115</v>
      </c>
      <c r="E22" s="511">
        <f t="shared" ref="E22:G27" ca="1" si="2">D171</f>
        <v>5.249238483597507E-2</v>
      </c>
      <c r="F22" s="511">
        <f t="shared" ca="1" si="2"/>
        <v>0.16340193752461363</v>
      </c>
      <c r="G22" s="512">
        <f t="shared" ca="1" si="2"/>
        <v>0.13817529107490456</v>
      </c>
      <c r="H22" s="633"/>
      <c r="I22" s="679" t="s">
        <v>116</v>
      </c>
      <c r="J22" s="687"/>
      <c r="K22" s="156">
        <v>0.5</v>
      </c>
      <c r="L22" s="633"/>
      <c r="M22" s="633"/>
      <c r="N22" s="504" t="s">
        <v>117</v>
      </c>
      <c r="O22" s="504" t="s">
        <v>118</v>
      </c>
      <c r="P22" s="633"/>
      <c r="Q22" s="633"/>
      <c r="R22" s="633"/>
      <c r="S22" s="633"/>
      <c r="T22" s="633"/>
      <c r="U22" s="633"/>
      <c r="V22" s="633"/>
      <c r="W22" s="633"/>
      <c r="X22" s="633"/>
      <c r="Y22" s="633"/>
      <c r="Z22" s="633"/>
      <c r="AA22" s="633"/>
      <c r="AB22" s="633"/>
      <c r="AC22" s="633"/>
      <c r="AD22" s="633"/>
      <c r="AE22" s="633"/>
      <c r="AF22" s="633"/>
      <c r="AG22" s="633"/>
      <c r="AH22" s="633"/>
      <c r="AI22" s="633"/>
      <c r="AJ22" s="633"/>
    </row>
    <row r="23" spans="1:36" x14ac:dyDescent="0.15">
      <c r="A23" s="633"/>
      <c r="C23" s="686" t="str">
        <f ca="1">"30 Year Investor IRR -   "&amp;TEXT(D136,"0.0%")</f>
        <v>30 Year Investor IRR -   14.4%</v>
      </c>
      <c r="D23" s="510" t="s">
        <v>119</v>
      </c>
      <c r="E23" s="511">
        <f t="shared" ca="1" si="2"/>
        <v>4.9353307848799544E-2</v>
      </c>
      <c r="F23" s="511">
        <f t="shared" ca="1" si="2"/>
        <v>0.21708354580343658</v>
      </c>
      <c r="G23" s="512">
        <f t="shared" ca="1" si="2"/>
        <v>0.20736257585727125</v>
      </c>
      <c r="H23" s="633"/>
      <c r="I23" s="679" t="s">
        <v>120</v>
      </c>
      <c r="J23" s="687"/>
      <c r="K23" s="688">
        <f>1-K22</f>
        <v>0.5</v>
      </c>
      <c r="L23" s="689"/>
      <c r="M23" s="633" t="s">
        <v>121</v>
      </c>
      <c r="N23" s="690">
        <f>E19*410.8*12</f>
        <v>98592</v>
      </c>
      <c r="O23" s="690">
        <f>N23/20</f>
        <v>4929.6000000000004</v>
      </c>
      <c r="P23" s="633"/>
      <c r="Q23" s="633"/>
      <c r="R23" s="633"/>
      <c r="S23" s="633"/>
      <c r="T23" s="633"/>
      <c r="U23" s="633"/>
      <c r="V23" s="633"/>
      <c r="W23" s="633"/>
      <c r="X23" s="633"/>
      <c r="Y23" s="633"/>
      <c r="Z23" s="633"/>
      <c r="AA23" s="633"/>
      <c r="AB23" s="633"/>
      <c r="AC23" s="633"/>
      <c r="AD23" s="633"/>
      <c r="AE23" s="633"/>
      <c r="AF23" s="633"/>
      <c r="AG23" s="633"/>
      <c r="AH23" s="633"/>
      <c r="AI23" s="633"/>
      <c r="AJ23" s="633"/>
    </row>
    <row r="24" spans="1:36" x14ac:dyDescent="0.15">
      <c r="A24" s="633"/>
      <c r="C24" s="686"/>
      <c r="D24" s="510" t="s">
        <v>122</v>
      </c>
      <c r="E24" s="511">
        <f t="shared" ca="1" si="2"/>
        <v>4.9353307848799544E-2</v>
      </c>
      <c r="F24" s="511">
        <f t="shared" ca="1" si="2"/>
        <v>0.14602011071631016</v>
      </c>
      <c r="G24" s="512">
        <f t="shared" ca="1" si="2"/>
        <v>0.15259219521377476</v>
      </c>
      <c r="H24" s="633"/>
      <c r="I24" s="679" t="s">
        <v>123</v>
      </c>
      <c r="J24" s="687"/>
      <c r="K24" s="156">
        <v>0.05</v>
      </c>
      <c r="L24" s="633"/>
      <c r="M24" s="633" t="s">
        <v>124</v>
      </c>
      <c r="N24" s="690">
        <f>N23*0.45</f>
        <v>44366.400000000001</v>
      </c>
      <c r="O24" s="690">
        <f>N24/20</f>
        <v>2218.3200000000002</v>
      </c>
      <c r="P24" s="633"/>
      <c r="Q24" s="633"/>
      <c r="R24" s="633"/>
      <c r="S24" s="633"/>
      <c r="T24" s="633"/>
      <c r="U24" s="633"/>
      <c r="V24" s="633"/>
      <c r="W24" s="633"/>
      <c r="X24" s="633"/>
      <c r="Y24" s="633"/>
      <c r="Z24" s="633"/>
      <c r="AA24" s="633"/>
      <c r="AB24" s="633"/>
      <c r="AC24" s="633"/>
      <c r="AD24" s="633"/>
      <c r="AE24" s="633"/>
      <c r="AF24" s="633"/>
      <c r="AG24" s="633"/>
      <c r="AH24" s="633"/>
      <c r="AI24" s="633"/>
      <c r="AJ24" s="633"/>
    </row>
    <row r="25" spans="1:36" x14ac:dyDescent="0.15">
      <c r="A25" s="633"/>
      <c r="C25" s="686" t="str">
        <f ca="1">"Year 5 Return On Cost -   "&amp;TEXT(J89,"0.0%")</f>
        <v>Year 5 Return On Cost -   9.7%</v>
      </c>
      <c r="D25" s="510" t="s">
        <v>125</v>
      </c>
      <c r="E25" s="513" t="str">
        <f t="shared" ca="1" si="2"/>
        <v>1.2x</v>
      </c>
      <c r="F25" s="513" t="str">
        <f t="shared" ca="1" si="2"/>
        <v>1.9x</v>
      </c>
      <c r="G25" s="514" t="str">
        <f t="shared" ca="1" si="2"/>
        <v>2.5x</v>
      </c>
      <c r="H25" s="633"/>
      <c r="I25" s="679" t="s">
        <v>126</v>
      </c>
      <c r="J25" s="687"/>
      <c r="K25" s="156">
        <v>0.05</v>
      </c>
      <c r="L25" s="633"/>
      <c r="M25" s="633" t="s">
        <v>127</v>
      </c>
      <c r="N25" s="750">
        <f>+N23-N24</f>
        <v>54225.599999999999</v>
      </c>
      <c r="O25" s="750">
        <f>+O23-O24</f>
        <v>2711.28</v>
      </c>
      <c r="P25" s="633"/>
      <c r="Q25" s="633"/>
      <c r="R25" s="633"/>
      <c r="S25" s="633"/>
      <c r="T25" s="633"/>
      <c r="U25" s="633"/>
      <c r="V25" s="633"/>
      <c r="W25" s="633"/>
      <c r="X25" s="633"/>
      <c r="Y25" s="633"/>
      <c r="Z25" s="633"/>
      <c r="AA25" s="633"/>
      <c r="AB25" s="633"/>
      <c r="AC25" s="633"/>
      <c r="AD25" s="633"/>
      <c r="AE25" s="633"/>
      <c r="AF25" s="633"/>
      <c r="AG25" s="633"/>
      <c r="AH25" s="633"/>
      <c r="AI25" s="633"/>
      <c r="AJ25" s="633"/>
    </row>
    <row r="26" spans="1:36" ht="14" thickBot="1" x14ac:dyDescent="0.2">
      <c r="A26" s="633"/>
      <c r="C26" s="686" t="str">
        <f ca="1">"Pct Equity Returned Over 5 Years "&amp;TEXT(J136,"0.0%")</f>
        <v>Pct Equity Returned Over 5 Years Cumm.= 144.1%</v>
      </c>
      <c r="D26" s="510" t="s">
        <v>128</v>
      </c>
      <c r="E26" s="515">
        <f t="shared" ca="1" si="2"/>
        <v>4511000</v>
      </c>
      <c r="F26" s="515">
        <f t="shared" ca="1" si="2"/>
        <v>7529000</v>
      </c>
      <c r="G26" s="516">
        <f t="shared" ca="1" si="2"/>
        <v>9775000</v>
      </c>
      <c r="H26" s="633"/>
      <c r="I26" s="633"/>
      <c r="J26" s="633"/>
      <c r="K26" s="633"/>
      <c r="L26" s="633"/>
      <c r="M26" s="633"/>
      <c r="N26" s="633"/>
      <c r="O26" s="633"/>
      <c r="P26" s="633"/>
      <c r="Q26" s="633"/>
      <c r="R26" s="633"/>
      <c r="S26" s="633"/>
      <c r="T26" s="633"/>
      <c r="U26" s="633"/>
      <c r="V26" s="633"/>
      <c r="W26" s="633"/>
      <c r="X26" s="633"/>
      <c r="Y26" s="633"/>
      <c r="Z26" s="633"/>
      <c r="AA26" s="633"/>
      <c r="AB26" s="633"/>
      <c r="AC26" s="633"/>
      <c r="AD26" s="633"/>
      <c r="AE26" s="633"/>
      <c r="AF26" s="633"/>
      <c r="AG26" s="633"/>
      <c r="AH26" s="633"/>
      <c r="AI26" s="633"/>
      <c r="AJ26" s="633"/>
    </row>
    <row r="27" spans="1:36" x14ac:dyDescent="0.15">
      <c r="A27" s="633"/>
      <c r="C27" s="686" t="str">
        <f ca="1">"Year 1 Leveraged Cash-On-Cash -   "&amp;TEXT(F118,"0.0%")</f>
        <v>Year 1 Leveraged Cash-On-Cash -   0.3%</v>
      </c>
      <c r="D27" s="510" t="s">
        <v>129</v>
      </c>
      <c r="E27" s="515">
        <f t="shared" ca="1" si="2"/>
        <v>0</v>
      </c>
      <c r="F27" s="515">
        <f t="shared" ca="1" si="2"/>
        <v>2604000</v>
      </c>
      <c r="G27" s="516">
        <f t="shared" ca="1" si="2"/>
        <v>4850000</v>
      </c>
      <c r="H27" s="628" t="s">
        <v>130</v>
      </c>
      <c r="I27" s="629" t="s">
        <v>131</v>
      </c>
      <c r="J27" s="683"/>
      <c r="K27" s="633"/>
      <c r="L27" s="633"/>
      <c r="M27" s="633"/>
      <c r="N27" s="633"/>
      <c r="O27" s="633"/>
      <c r="P27" s="633"/>
      <c r="Q27" s="633"/>
      <c r="R27" s="633"/>
      <c r="S27" s="633"/>
      <c r="T27" s="633"/>
      <c r="U27" s="633"/>
      <c r="V27" s="633"/>
      <c r="W27" s="633"/>
      <c r="X27" s="633"/>
      <c r="Y27" s="633"/>
      <c r="Z27" s="633"/>
      <c r="AA27" s="633"/>
      <c r="AB27" s="633"/>
      <c r="AC27" s="633"/>
      <c r="AD27" s="633"/>
      <c r="AE27" s="633"/>
      <c r="AF27" s="633"/>
      <c r="AG27" s="633"/>
      <c r="AH27" s="633"/>
      <c r="AI27" s="633"/>
      <c r="AJ27" s="633"/>
    </row>
    <row r="28" spans="1:36" x14ac:dyDescent="0.15">
      <c r="A28" s="633"/>
      <c r="C28" s="691"/>
      <c r="D28" s="510" t="s">
        <v>132</v>
      </c>
      <c r="E28" s="515" t="str">
        <f ca="1">+H105</f>
        <v>$/Sp=$25,400</v>
      </c>
      <c r="F28" s="517" t="str">
        <f ca="1">+J105</f>
        <v>$/Sp=$42,600</v>
      </c>
      <c r="G28" s="518" t="str">
        <f ca="1">+O105</f>
        <v>$/Sp=$53,500</v>
      </c>
      <c r="H28" s="515">
        <f ca="1">ROUND(O104,-3)</f>
        <v>14868000</v>
      </c>
      <c r="I28" s="516">
        <f ca="1">ROUND(H28/NoOfSpaces,-2)</f>
        <v>53500</v>
      </c>
      <c r="J28" s="683"/>
      <c r="K28" s="633"/>
      <c r="L28" s="633"/>
      <c r="M28" s="633"/>
      <c r="N28" s="633"/>
      <c r="O28" s="633"/>
      <c r="P28" s="633"/>
      <c r="Q28" s="633"/>
      <c r="R28" s="633"/>
      <c r="S28" s="633"/>
      <c r="T28" s="633"/>
      <c r="U28" s="633"/>
      <c r="V28" s="633"/>
      <c r="W28" s="633"/>
      <c r="X28" s="633"/>
      <c r="Y28" s="633"/>
      <c r="Z28" s="633"/>
      <c r="AA28" s="633"/>
      <c r="AB28" s="633"/>
      <c r="AC28" s="633"/>
      <c r="AD28" s="633"/>
      <c r="AE28" s="633"/>
      <c r="AF28" s="633"/>
      <c r="AG28" s="633"/>
      <c r="AH28" s="633"/>
      <c r="AI28" s="633"/>
      <c r="AJ28" s="633"/>
    </row>
    <row r="29" spans="1:36" x14ac:dyDescent="0.15">
      <c r="A29" s="683" t="s">
        <v>133</v>
      </c>
      <c r="B29" s="505" t="s">
        <v>134</v>
      </c>
      <c r="C29" s="20" t="s">
        <v>135</v>
      </c>
      <c r="D29" s="21" t="s">
        <v>136</v>
      </c>
      <c r="E29" s="751" t="s">
        <v>137</v>
      </c>
      <c r="F29" s="24">
        <v>1</v>
      </c>
      <c r="G29" s="24">
        <f>F29+1</f>
        <v>2</v>
      </c>
      <c r="H29" s="24">
        <f t="shared" ref="H29:AH29" si="3">G29+1</f>
        <v>3</v>
      </c>
      <c r="I29" s="24">
        <f t="shared" si="3"/>
        <v>4</v>
      </c>
      <c r="J29" s="24">
        <f t="shared" si="3"/>
        <v>5</v>
      </c>
      <c r="K29" s="24">
        <f t="shared" si="3"/>
        <v>6</v>
      </c>
      <c r="L29" s="24">
        <f t="shared" si="3"/>
        <v>7</v>
      </c>
      <c r="M29" s="24">
        <f t="shared" si="3"/>
        <v>8</v>
      </c>
      <c r="N29" s="24">
        <f t="shared" si="3"/>
        <v>9</v>
      </c>
      <c r="O29" s="24">
        <f t="shared" si="3"/>
        <v>10</v>
      </c>
      <c r="P29" s="24">
        <f t="shared" si="3"/>
        <v>11</v>
      </c>
      <c r="Q29" s="24">
        <f t="shared" si="3"/>
        <v>12</v>
      </c>
      <c r="R29" s="24">
        <f t="shared" si="3"/>
        <v>13</v>
      </c>
      <c r="S29" s="24">
        <f t="shared" si="3"/>
        <v>14</v>
      </c>
      <c r="T29" s="24">
        <f t="shared" si="3"/>
        <v>15</v>
      </c>
      <c r="U29" s="24">
        <f t="shared" si="3"/>
        <v>16</v>
      </c>
      <c r="V29" s="24">
        <f t="shared" si="3"/>
        <v>17</v>
      </c>
      <c r="W29" s="24">
        <f t="shared" si="3"/>
        <v>18</v>
      </c>
      <c r="X29" s="24">
        <f t="shared" si="3"/>
        <v>19</v>
      </c>
      <c r="Y29" s="24">
        <f t="shared" si="3"/>
        <v>20</v>
      </c>
      <c r="Z29" s="24">
        <f t="shared" si="3"/>
        <v>21</v>
      </c>
      <c r="AA29" s="24">
        <f t="shared" si="3"/>
        <v>22</v>
      </c>
      <c r="AB29" s="24">
        <f t="shared" si="3"/>
        <v>23</v>
      </c>
      <c r="AC29" s="24">
        <f t="shared" si="3"/>
        <v>24</v>
      </c>
      <c r="AD29" s="24">
        <f t="shared" si="3"/>
        <v>25</v>
      </c>
      <c r="AE29" s="24">
        <f t="shared" si="3"/>
        <v>26</v>
      </c>
      <c r="AF29" s="24">
        <f t="shared" si="3"/>
        <v>27</v>
      </c>
      <c r="AG29" s="24">
        <f t="shared" si="3"/>
        <v>28</v>
      </c>
      <c r="AH29" s="24">
        <f t="shared" si="3"/>
        <v>29</v>
      </c>
      <c r="AI29" s="24">
        <f t="shared" ref="AI29" si="4">AH29+1</f>
        <v>30</v>
      </c>
      <c r="AJ29" s="24">
        <f t="shared" ref="AJ29" si="5">AI29+1</f>
        <v>31</v>
      </c>
    </row>
    <row r="30" spans="1:36" x14ac:dyDescent="0.15">
      <c r="A30" s="633"/>
      <c r="C30" s="11" t="s">
        <v>138</v>
      </c>
      <c r="D30" s="146"/>
      <c r="E30" s="692"/>
      <c r="F30" s="285"/>
      <c r="G30" s="286" t="str">
        <f>"YOY = "&amp;TEXT(((G31-F31)/F31),"0.0%")</f>
        <v>YOY = 14.3%</v>
      </c>
      <c r="H30" s="286" t="str">
        <f>"YOY = "&amp;TEXT(((H31-G31)/G31),"0.0%")</f>
        <v>YOY = 12.5%</v>
      </c>
      <c r="I30" s="286" t="str">
        <f t="shared" ref="I30:AH30" si="6">"YOY = "&amp;TEXT(((I31-H31)/H31),"0.0%")</f>
        <v>YOY = 9.5%</v>
      </c>
      <c r="J30" s="286" t="str">
        <f t="shared" si="6"/>
        <v>YOY = 7.2%</v>
      </c>
      <c r="K30" s="228" t="str">
        <f t="shared" si="6"/>
        <v>YOY = 4.0%</v>
      </c>
      <c r="L30" s="228" t="str">
        <f t="shared" si="6"/>
        <v>YOY = 4.0%</v>
      </c>
      <c r="M30" s="228" t="str">
        <f t="shared" si="6"/>
        <v>YOY = 4.0%</v>
      </c>
      <c r="N30" s="228" t="str">
        <f t="shared" si="6"/>
        <v>YOY = 4.0%</v>
      </c>
      <c r="O30" s="228" t="str">
        <f t="shared" si="6"/>
        <v>YOY = 4.0%</v>
      </c>
      <c r="P30" s="228" t="str">
        <f t="shared" si="6"/>
        <v>YOY = 4.0%</v>
      </c>
      <c r="Q30" s="228" t="str">
        <f t="shared" si="6"/>
        <v>YOY = 4.0%</v>
      </c>
      <c r="R30" s="228" t="str">
        <f t="shared" si="6"/>
        <v>YOY = 4.0%</v>
      </c>
      <c r="S30" s="228" t="str">
        <f t="shared" si="6"/>
        <v>YOY = 4.0%</v>
      </c>
      <c r="T30" s="228" t="str">
        <f t="shared" si="6"/>
        <v>YOY = 4.0%</v>
      </c>
      <c r="U30" s="228" t="str">
        <f t="shared" si="6"/>
        <v>YOY = 4.0%</v>
      </c>
      <c r="V30" s="228" t="str">
        <f t="shared" si="6"/>
        <v>YOY = 4.0%</v>
      </c>
      <c r="W30" s="228" t="str">
        <f t="shared" si="6"/>
        <v>YOY = 4.0%</v>
      </c>
      <c r="X30" s="228" t="str">
        <f t="shared" si="6"/>
        <v>YOY = 4.0%</v>
      </c>
      <c r="Y30" s="228" t="str">
        <f t="shared" si="6"/>
        <v>YOY = 4.0%</v>
      </c>
      <c r="Z30" s="228" t="str">
        <f t="shared" si="6"/>
        <v>YOY = 4.0%</v>
      </c>
      <c r="AA30" s="228" t="str">
        <f t="shared" si="6"/>
        <v>YOY = 4.0%</v>
      </c>
      <c r="AB30" s="228" t="str">
        <f t="shared" si="6"/>
        <v>YOY = 4.0%</v>
      </c>
      <c r="AC30" s="228" t="str">
        <f t="shared" si="6"/>
        <v>YOY = 4.0%</v>
      </c>
      <c r="AD30" s="228" t="str">
        <f t="shared" si="6"/>
        <v>YOY = 4.0%</v>
      </c>
      <c r="AE30" s="228" t="str">
        <f t="shared" si="6"/>
        <v>YOY = 4.0%</v>
      </c>
      <c r="AF30" s="228" t="str">
        <f t="shared" si="6"/>
        <v>YOY = 4.0%</v>
      </c>
      <c r="AG30" s="228" t="str">
        <f t="shared" si="6"/>
        <v>YOY = 4.0%</v>
      </c>
      <c r="AH30" s="228" t="str">
        <f t="shared" si="6"/>
        <v>YOY = 4.0%</v>
      </c>
      <c r="AI30" s="228" t="str">
        <f t="shared" ref="AI30" si="7">"YOY = "&amp;TEXT(((AI31-AH31)/AH31),"0.0%")</f>
        <v>YOY = 4.0%</v>
      </c>
      <c r="AJ30" s="228" t="str">
        <f t="shared" ref="AJ30" si="8">"YOY = "&amp;TEXT(((AJ31-AI31)/AI31),"0.0%")</f>
        <v>YOY = 4.0%</v>
      </c>
    </row>
    <row r="31" spans="1:36" x14ac:dyDescent="0.15">
      <c r="A31" s="633"/>
      <c r="C31" s="636" t="str">
        <f>C14</f>
        <v>Timberline</v>
      </c>
      <c r="D31" s="147">
        <v>230</v>
      </c>
      <c r="E31" s="287">
        <v>0.04</v>
      </c>
      <c r="F31" s="285">
        <f>D31+15</f>
        <v>245</v>
      </c>
      <c r="G31" s="285">
        <f>F31+35</f>
        <v>280</v>
      </c>
      <c r="H31" s="285">
        <f>G31+35</f>
        <v>315</v>
      </c>
      <c r="I31" s="285">
        <f>H31+30</f>
        <v>345</v>
      </c>
      <c r="J31" s="285">
        <f>I31+25</f>
        <v>370</v>
      </c>
      <c r="K31" s="285">
        <f t="shared" ref="K31" si="9">J31*(1+$E$31)</f>
        <v>384.8</v>
      </c>
      <c r="L31" s="285">
        <f t="shared" ref="L31:AH31" si="10">K31*(1+$E$31)</f>
        <v>400.19200000000001</v>
      </c>
      <c r="M31" s="285">
        <f t="shared" si="10"/>
        <v>416.19968</v>
      </c>
      <c r="N31" s="285">
        <f t="shared" si="10"/>
        <v>432.84766719999999</v>
      </c>
      <c r="O31" s="285">
        <f t="shared" si="10"/>
        <v>450.16157388800002</v>
      </c>
      <c r="P31" s="285">
        <f t="shared" si="10"/>
        <v>468.16803684352004</v>
      </c>
      <c r="Q31" s="285">
        <f t="shared" si="10"/>
        <v>486.89475831726088</v>
      </c>
      <c r="R31" s="285">
        <f t="shared" si="10"/>
        <v>506.37054864995133</v>
      </c>
      <c r="S31" s="285">
        <f t="shared" si="10"/>
        <v>526.62537059594945</v>
      </c>
      <c r="T31" s="285">
        <f t="shared" si="10"/>
        <v>547.69038541978739</v>
      </c>
      <c r="U31" s="285">
        <f t="shared" si="10"/>
        <v>569.59800083657888</v>
      </c>
      <c r="V31" s="285">
        <f t="shared" si="10"/>
        <v>592.38192087004199</v>
      </c>
      <c r="W31" s="285">
        <f t="shared" si="10"/>
        <v>616.07719770484368</v>
      </c>
      <c r="X31" s="285">
        <f t="shared" si="10"/>
        <v>640.7202856130375</v>
      </c>
      <c r="Y31" s="285">
        <f t="shared" si="10"/>
        <v>666.34909703755898</v>
      </c>
      <c r="Z31" s="285">
        <f t="shared" si="10"/>
        <v>693.00306091906134</v>
      </c>
      <c r="AA31" s="285">
        <f t="shared" si="10"/>
        <v>720.72318335582383</v>
      </c>
      <c r="AB31" s="285">
        <f t="shared" si="10"/>
        <v>749.55211069005679</v>
      </c>
      <c r="AC31" s="285">
        <f t="shared" si="10"/>
        <v>779.53419511765912</v>
      </c>
      <c r="AD31" s="285">
        <f t="shared" si="10"/>
        <v>810.71556292236551</v>
      </c>
      <c r="AE31" s="285">
        <f t="shared" si="10"/>
        <v>843.14418543926013</v>
      </c>
      <c r="AF31" s="285">
        <f t="shared" si="10"/>
        <v>876.86995285683054</v>
      </c>
      <c r="AG31" s="285">
        <f t="shared" si="10"/>
        <v>911.94475097110376</v>
      </c>
      <c r="AH31" s="285">
        <f t="shared" si="10"/>
        <v>948.42254100994796</v>
      </c>
      <c r="AI31" s="285">
        <f t="shared" ref="AI31" si="11">AH31*(1+$E$31)</f>
        <v>986.35944265034595</v>
      </c>
      <c r="AJ31" s="285">
        <f t="shared" ref="AJ31" si="12">AI31*(1+$E$31)</f>
        <v>1025.8138203563599</v>
      </c>
    </row>
    <row r="32" spans="1:36" x14ac:dyDescent="0.15">
      <c r="A32" s="633"/>
      <c r="C32" s="636" t="str">
        <f>C15</f>
        <v>Echo Valley I</v>
      </c>
      <c r="D32" s="147">
        <v>212</v>
      </c>
      <c r="E32" s="287">
        <v>0.04</v>
      </c>
      <c r="F32" s="285">
        <f>D32</f>
        <v>212</v>
      </c>
      <c r="G32" s="285">
        <f t="shared" ref="G32:I33" si="13">F32+25</f>
        <v>237</v>
      </c>
      <c r="H32" s="285">
        <f t="shared" si="13"/>
        <v>262</v>
      </c>
      <c r="I32" s="285">
        <f t="shared" si="13"/>
        <v>287</v>
      </c>
      <c r="J32" s="285">
        <f>I32+25</f>
        <v>312</v>
      </c>
      <c r="K32" s="285">
        <f t="shared" ref="K32:AH32" si="14">J32*(1+$E$32)</f>
        <v>324.48</v>
      </c>
      <c r="L32" s="285">
        <f t="shared" si="14"/>
        <v>337.45920000000001</v>
      </c>
      <c r="M32" s="285">
        <f t="shared" si="14"/>
        <v>350.95756800000004</v>
      </c>
      <c r="N32" s="285">
        <f t="shared" si="14"/>
        <v>364.99587072000003</v>
      </c>
      <c r="O32" s="285">
        <f t="shared" si="14"/>
        <v>379.59570554880003</v>
      </c>
      <c r="P32" s="285">
        <f t="shared" si="14"/>
        <v>394.77953377075204</v>
      </c>
      <c r="Q32" s="285">
        <f t="shared" si="14"/>
        <v>410.57071512158211</v>
      </c>
      <c r="R32" s="285">
        <f t="shared" si="14"/>
        <v>426.99354372644541</v>
      </c>
      <c r="S32" s="285">
        <f t="shared" si="14"/>
        <v>444.07328547550327</v>
      </c>
      <c r="T32" s="285">
        <f t="shared" si="14"/>
        <v>461.83621689452343</v>
      </c>
      <c r="U32" s="285">
        <f t="shared" si="14"/>
        <v>480.30966557030439</v>
      </c>
      <c r="V32" s="285">
        <f t="shared" si="14"/>
        <v>499.52205219311656</v>
      </c>
      <c r="W32" s="285">
        <f t="shared" si="14"/>
        <v>519.50293428084126</v>
      </c>
      <c r="X32" s="285">
        <f t="shared" si="14"/>
        <v>540.28305165207496</v>
      </c>
      <c r="Y32" s="285">
        <f t="shared" si="14"/>
        <v>561.89437371815802</v>
      </c>
      <c r="Z32" s="285">
        <f t="shared" si="14"/>
        <v>584.37014866688435</v>
      </c>
      <c r="AA32" s="285">
        <f t="shared" si="14"/>
        <v>607.7449546135598</v>
      </c>
      <c r="AB32" s="285">
        <f t="shared" si="14"/>
        <v>632.05475279810219</v>
      </c>
      <c r="AC32" s="285">
        <f t="shared" si="14"/>
        <v>657.33694291002632</v>
      </c>
      <c r="AD32" s="285">
        <f t="shared" si="14"/>
        <v>683.63042062642739</v>
      </c>
      <c r="AE32" s="285">
        <f t="shared" si="14"/>
        <v>710.97563745148454</v>
      </c>
      <c r="AF32" s="285">
        <f t="shared" si="14"/>
        <v>739.41466294954398</v>
      </c>
      <c r="AG32" s="285">
        <f t="shared" si="14"/>
        <v>768.99124946752579</v>
      </c>
      <c r="AH32" s="285">
        <f t="shared" si="14"/>
        <v>799.75089944622687</v>
      </c>
      <c r="AI32" s="285">
        <f t="shared" ref="AI32" si="15">AH32*(1+$E$32)</f>
        <v>831.74093542407593</v>
      </c>
      <c r="AJ32" s="285">
        <f t="shared" ref="AJ32" si="16">AI32*(1+$E$32)</f>
        <v>865.01057284103899</v>
      </c>
    </row>
    <row r="33" spans="1:36" x14ac:dyDescent="0.15">
      <c r="A33" s="633"/>
      <c r="C33" s="636" t="str">
        <f>C16</f>
        <v>Echo Valley II</v>
      </c>
      <c r="D33" s="147">
        <v>218</v>
      </c>
      <c r="E33" s="287">
        <v>0.04</v>
      </c>
      <c r="F33" s="285">
        <f>D33</f>
        <v>218</v>
      </c>
      <c r="G33" s="285">
        <f t="shared" si="13"/>
        <v>243</v>
      </c>
      <c r="H33" s="285">
        <f t="shared" si="13"/>
        <v>268</v>
      </c>
      <c r="I33" s="285">
        <f t="shared" si="13"/>
        <v>293</v>
      </c>
      <c r="J33" s="285">
        <f>I33+25</f>
        <v>318</v>
      </c>
      <c r="K33" s="285">
        <f t="shared" ref="K33:AH33" si="17">J33*(1+$E$33)</f>
        <v>330.72</v>
      </c>
      <c r="L33" s="285">
        <f t="shared" si="17"/>
        <v>343.94880000000006</v>
      </c>
      <c r="M33" s="285">
        <f t="shared" si="17"/>
        <v>357.70675200000005</v>
      </c>
      <c r="N33" s="285">
        <f t="shared" si="17"/>
        <v>372.01502208000005</v>
      </c>
      <c r="O33" s="285">
        <f t="shared" si="17"/>
        <v>386.89562296320008</v>
      </c>
      <c r="P33" s="285">
        <f t="shared" si="17"/>
        <v>402.3714478817281</v>
      </c>
      <c r="Q33" s="285">
        <f t="shared" si="17"/>
        <v>418.46630579699723</v>
      </c>
      <c r="R33" s="285">
        <f t="shared" si="17"/>
        <v>435.20495802887712</v>
      </c>
      <c r="S33" s="285">
        <f t="shared" si="17"/>
        <v>452.61315635003223</v>
      </c>
      <c r="T33" s="285">
        <f t="shared" si="17"/>
        <v>470.71768260403354</v>
      </c>
      <c r="U33" s="285">
        <f t="shared" si="17"/>
        <v>489.5463899081949</v>
      </c>
      <c r="V33" s="285">
        <f t="shared" si="17"/>
        <v>509.12824550452274</v>
      </c>
      <c r="W33" s="285">
        <f t="shared" si="17"/>
        <v>529.49337532470372</v>
      </c>
      <c r="X33" s="285">
        <f t="shared" si="17"/>
        <v>550.67311033769192</v>
      </c>
      <c r="Y33" s="285">
        <f t="shared" si="17"/>
        <v>572.70003475119961</v>
      </c>
      <c r="Z33" s="285">
        <f t="shared" si="17"/>
        <v>595.60803614124757</v>
      </c>
      <c r="AA33" s="285">
        <f t="shared" si="17"/>
        <v>619.43235758689752</v>
      </c>
      <c r="AB33" s="285">
        <f t="shared" si="17"/>
        <v>644.20965189037349</v>
      </c>
      <c r="AC33" s="285">
        <f t="shared" si="17"/>
        <v>669.97803796598851</v>
      </c>
      <c r="AD33" s="285">
        <f t="shared" si="17"/>
        <v>696.7771594846281</v>
      </c>
      <c r="AE33" s="285">
        <f t="shared" si="17"/>
        <v>724.64824586401323</v>
      </c>
      <c r="AF33" s="285">
        <f t="shared" si="17"/>
        <v>753.63417569857381</v>
      </c>
      <c r="AG33" s="285">
        <f t="shared" si="17"/>
        <v>783.77954272651675</v>
      </c>
      <c r="AH33" s="285">
        <f t="shared" si="17"/>
        <v>815.13072443557746</v>
      </c>
      <c r="AI33" s="285">
        <f t="shared" ref="AI33" si="18">AH33*(1+$E$33)</f>
        <v>847.73595341300063</v>
      </c>
      <c r="AJ33" s="285">
        <f t="shared" ref="AJ33" si="19">AI33*(1+$E$33)</f>
        <v>881.6453915495207</v>
      </c>
    </row>
    <row r="34" spans="1:36" x14ac:dyDescent="0.15">
      <c r="A34" s="633"/>
      <c r="C34" s="633"/>
      <c r="D34" s="146"/>
      <c r="E34" s="692"/>
      <c r="F34" s="752"/>
      <c r="G34" s="753"/>
      <c r="H34" s="753"/>
      <c r="I34" s="753"/>
      <c r="J34" s="753"/>
      <c r="K34" s="753"/>
      <c r="L34" s="753"/>
      <c r="M34" s="753"/>
      <c r="N34" s="753"/>
      <c r="O34" s="753"/>
      <c r="P34" s="753"/>
      <c r="Q34" s="753"/>
      <c r="R34" s="753"/>
      <c r="S34" s="753"/>
      <c r="T34" s="753"/>
      <c r="U34" s="753"/>
      <c r="V34" s="753"/>
      <c r="W34" s="753"/>
      <c r="X34" s="753"/>
      <c r="Y34" s="753"/>
      <c r="Z34" s="753"/>
      <c r="AA34" s="753"/>
      <c r="AB34" s="753"/>
      <c r="AC34" s="753"/>
      <c r="AD34" s="753"/>
      <c r="AE34" s="753"/>
      <c r="AF34" s="753"/>
      <c r="AG34" s="753"/>
      <c r="AH34" s="753"/>
      <c r="AI34" s="753"/>
      <c r="AJ34" s="753"/>
    </row>
    <row r="35" spans="1:36" ht="16" x14ac:dyDescent="0.3">
      <c r="A35" s="633"/>
      <c r="C35" s="11" t="s">
        <v>139</v>
      </c>
      <c r="D35" s="148"/>
      <c r="E35" s="340" t="s">
        <v>140</v>
      </c>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5"/>
    </row>
    <row r="36" spans="1:36" x14ac:dyDescent="0.15">
      <c r="A36" s="633"/>
      <c r="B36" s="491">
        <f>(F36*12)</f>
        <v>608580</v>
      </c>
      <c r="C36" s="636" t="str">
        <f>C31</f>
        <v>Timberline</v>
      </c>
      <c r="D36" s="146">
        <f>D31*D14*12</f>
        <v>571320</v>
      </c>
      <c r="E36" s="341">
        <f>D14</f>
        <v>207</v>
      </c>
      <c r="F36" s="285">
        <f>F31*$E$36</f>
        <v>50715</v>
      </c>
      <c r="G36" s="285">
        <f t="shared" ref="G36:AH36" si="20">G31*$E36</f>
        <v>57960</v>
      </c>
      <c r="H36" s="285">
        <f t="shared" si="20"/>
        <v>65205</v>
      </c>
      <c r="I36" s="285">
        <f t="shared" si="20"/>
        <v>71415</v>
      </c>
      <c r="J36" s="285">
        <f t="shared" si="20"/>
        <v>76590</v>
      </c>
      <c r="K36" s="285">
        <f t="shared" si="20"/>
        <v>79653.600000000006</v>
      </c>
      <c r="L36" s="285">
        <f t="shared" si="20"/>
        <v>82839.744000000006</v>
      </c>
      <c r="M36" s="285">
        <f t="shared" si="20"/>
        <v>86153.333759999994</v>
      </c>
      <c r="N36" s="285">
        <f t="shared" si="20"/>
        <v>89599.467110400001</v>
      </c>
      <c r="O36" s="285">
        <f t="shared" si="20"/>
        <v>93183.445794815998</v>
      </c>
      <c r="P36" s="285">
        <f t="shared" si="20"/>
        <v>96910.783626608652</v>
      </c>
      <c r="Q36" s="285">
        <f t="shared" si="20"/>
        <v>100787.21497167301</v>
      </c>
      <c r="R36" s="285">
        <f t="shared" si="20"/>
        <v>104818.70357053993</v>
      </c>
      <c r="S36" s="285">
        <f t="shared" si="20"/>
        <v>109011.45171336153</v>
      </c>
      <c r="T36" s="285">
        <f t="shared" si="20"/>
        <v>113371.90978189599</v>
      </c>
      <c r="U36" s="285">
        <f t="shared" si="20"/>
        <v>117906.78617317183</v>
      </c>
      <c r="V36" s="285">
        <f t="shared" si="20"/>
        <v>122623.0576200987</v>
      </c>
      <c r="W36" s="285">
        <f t="shared" si="20"/>
        <v>127527.97992490264</v>
      </c>
      <c r="X36" s="285">
        <f t="shared" si="20"/>
        <v>132629.09912189876</v>
      </c>
      <c r="Y36" s="285">
        <f t="shared" si="20"/>
        <v>137934.26308677471</v>
      </c>
      <c r="Z36" s="285">
        <f t="shared" si="20"/>
        <v>143451.63361024568</v>
      </c>
      <c r="AA36" s="285">
        <f t="shared" si="20"/>
        <v>149189.69895465553</v>
      </c>
      <c r="AB36" s="285">
        <f t="shared" si="20"/>
        <v>155157.28691284175</v>
      </c>
      <c r="AC36" s="285">
        <f t="shared" si="20"/>
        <v>161363.57838935545</v>
      </c>
      <c r="AD36" s="285">
        <f t="shared" si="20"/>
        <v>167818.12152492965</v>
      </c>
      <c r="AE36" s="285">
        <f t="shared" si="20"/>
        <v>174530.84638592685</v>
      </c>
      <c r="AF36" s="285">
        <f t="shared" si="20"/>
        <v>181512.08024136393</v>
      </c>
      <c r="AG36" s="285">
        <f t="shared" si="20"/>
        <v>188772.56345101848</v>
      </c>
      <c r="AH36" s="285">
        <f t="shared" si="20"/>
        <v>196323.46598905922</v>
      </c>
      <c r="AI36" s="285">
        <f t="shared" ref="AI36:AJ36" si="21">AI31*$E36</f>
        <v>204176.40462862162</v>
      </c>
      <c r="AJ36" s="285">
        <f t="shared" si="21"/>
        <v>212343.46081376649</v>
      </c>
    </row>
    <row r="37" spans="1:36" x14ac:dyDescent="0.15">
      <c r="A37" s="633"/>
      <c r="B37" s="491">
        <f>(F37*12)</f>
        <v>76320</v>
      </c>
      <c r="C37" s="636" t="str">
        <f>C32</f>
        <v>Echo Valley I</v>
      </c>
      <c r="D37" s="146">
        <f>D32*D15*12</f>
        <v>76320</v>
      </c>
      <c r="E37" s="341">
        <f>D15</f>
        <v>30</v>
      </c>
      <c r="F37" s="285">
        <f t="shared" ref="F37:AH37" si="22">F32*$E$37</f>
        <v>6360</v>
      </c>
      <c r="G37" s="285">
        <f t="shared" si="22"/>
        <v>7110</v>
      </c>
      <c r="H37" s="285">
        <f t="shared" si="22"/>
        <v>7860</v>
      </c>
      <c r="I37" s="285">
        <f t="shared" si="22"/>
        <v>8610</v>
      </c>
      <c r="J37" s="285">
        <f t="shared" si="22"/>
        <v>9360</v>
      </c>
      <c r="K37" s="285">
        <f t="shared" si="22"/>
        <v>9734.4000000000015</v>
      </c>
      <c r="L37" s="285">
        <f t="shared" si="22"/>
        <v>10123.776</v>
      </c>
      <c r="M37" s="285">
        <f t="shared" si="22"/>
        <v>10528.727040000002</v>
      </c>
      <c r="N37" s="285">
        <f t="shared" si="22"/>
        <v>10949.8761216</v>
      </c>
      <c r="O37" s="285">
        <f t="shared" si="22"/>
        <v>11387.871166464001</v>
      </c>
      <c r="P37" s="285">
        <f t="shared" si="22"/>
        <v>11843.386013122561</v>
      </c>
      <c r="Q37" s="285">
        <f t="shared" si="22"/>
        <v>12317.121453647464</v>
      </c>
      <c r="R37" s="285">
        <f t="shared" si="22"/>
        <v>12809.806311793362</v>
      </c>
      <c r="S37" s="285">
        <f t="shared" si="22"/>
        <v>13322.198564265098</v>
      </c>
      <c r="T37" s="285">
        <f t="shared" si="22"/>
        <v>13855.086506835703</v>
      </c>
      <c r="U37" s="285">
        <f t="shared" si="22"/>
        <v>14409.289967109131</v>
      </c>
      <c r="V37" s="285">
        <f t="shared" si="22"/>
        <v>14985.661565793496</v>
      </c>
      <c r="W37" s="285">
        <f t="shared" si="22"/>
        <v>15585.088028425238</v>
      </c>
      <c r="X37" s="285">
        <f t="shared" si="22"/>
        <v>16208.491549562248</v>
      </c>
      <c r="Y37" s="285">
        <f t="shared" si="22"/>
        <v>16856.831211544741</v>
      </c>
      <c r="Z37" s="285">
        <f t="shared" si="22"/>
        <v>17531.104460006529</v>
      </c>
      <c r="AA37" s="285">
        <f t="shared" si="22"/>
        <v>18232.348638406795</v>
      </c>
      <c r="AB37" s="285">
        <f t="shared" si="22"/>
        <v>18961.642583943067</v>
      </c>
      <c r="AC37" s="285">
        <f t="shared" si="22"/>
        <v>19720.108287300791</v>
      </c>
      <c r="AD37" s="285">
        <f t="shared" si="22"/>
        <v>20508.912618792823</v>
      </c>
      <c r="AE37" s="285">
        <f t="shared" si="22"/>
        <v>21329.269123544538</v>
      </c>
      <c r="AF37" s="285">
        <f t="shared" si="22"/>
        <v>22182.439888486319</v>
      </c>
      <c r="AG37" s="285">
        <f t="shared" si="22"/>
        <v>23069.737484025773</v>
      </c>
      <c r="AH37" s="285">
        <f t="shared" si="22"/>
        <v>23992.526983386808</v>
      </c>
      <c r="AI37" s="285">
        <f t="shared" ref="AI37:AJ37" si="23">AI32*$E$37</f>
        <v>24952.228062722279</v>
      </c>
      <c r="AJ37" s="285">
        <f t="shared" si="23"/>
        <v>25950.317185231172</v>
      </c>
    </row>
    <row r="38" spans="1:36" x14ac:dyDescent="0.15">
      <c r="A38" s="633"/>
      <c r="B38" s="491">
        <f>(F38*12)</f>
        <v>107256</v>
      </c>
      <c r="C38" s="636" t="str">
        <f>C33</f>
        <v>Echo Valley II</v>
      </c>
      <c r="D38" s="146">
        <f>D33*D16*12</f>
        <v>107256</v>
      </c>
      <c r="E38" s="341">
        <f>D16</f>
        <v>41</v>
      </c>
      <c r="F38" s="342">
        <f t="shared" ref="F38:AH38" si="24">F33*$E$38</f>
        <v>8938</v>
      </c>
      <c r="G38" s="342">
        <f t="shared" si="24"/>
        <v>9963</v>
      </c>
      <c r="H38" s="342">
        <f t="shared" si="24"/>
        <v>10988</v>
      </c>
      <c r="I38" s="285">
        <f t="shared" si="24"/>
        <v>12013</v>
      </c>
      <c r="J38" s="285">
        <f t="shared" si="24"/>
        <v>13038</v>
      </c>
      <c r="K38" s="285">
        <f t="shared" si="24"/>
        <v>13559.52</v>
      </c>
      <c r="L38" s="285">
        <f t="shared" si="24"/>
        <v>14101.900800000003</v>
      </c>
      <c r="M38" s="285">
        <f t="shared" si="24"/>
        <v>14665.976832000002</v>
      </c>
      <c r="N38" s="285">
        <f t="shared" si="24"/>
        <v>15252.615905280001</v>
      </c>
      <c r="O38" s="285">
        <f t="shared" si="24"/>
        <v>15862.720541491204</v>
      </c>
      <c r="P38" s="285">
        <f t="shared" si="24"/>
        <v>16497.229363150851</v>
      </c>
      <c r="Q38" s="285">
        <f t="shared" si="24"/>
        <v>17157.118537676888</v>
      </c>
      <c r="R38" s="285">
        <f t="shared" si="24"/>
        <v>17843.40327918396</v>
      </c>
      <c r="S38" s="285">
        <f t="shared" si="24"/>
        <v>18557.139410351323</v>
      </c>
      <c r="T38" s="285">
        <f t="shared" si="24"/>
        <v>19299.424986765374</v>
      </c>
      <c r="U38" s="285">
        <f t="shared" si="24"/>
        <v>20071.401986235989</v>
      </c>
      <c r="V38" s="285">
        <f t="shared" si="24"/>
        <v>20874.258065685433</v>
      </c>
      <c r="W38" s="285">
        <f t="shared" si="24"/>
        <v>21709.228388312851</v>
      </c>
      <c r="X38" s="285">
        <f t="shared" si="24"/>
        <v>22577.597523845368</v>
      </c>
      <c r="Y38" s="285">
        <f t="shared" si="24"/>
        <v>23480.701424799183</v>
      </c>
      <c r="Z38" s="285">
        <f t="shared" si="24"/>
        <v>24419.92948179115</v>
      </c>
      <c r="AA38" s="285">
        <f t="shared" si="24"/>
        <v>25396.726661062799</v>
      </c>
      <c r="AB38" s="285">
        <f t="shared" si="24"/>
        <v>26412.595727505312</v>
      </c>
      <c r="AC38" s="285">
        <f t="shared" si="24"/>
        <v>27469.099556605528</v>
      </c>
      <c r="AD38" s="285">
        <f t="shared" si="24"/>
        <v>28567.863538869751</v>
      </c>
      <c r="AE38" s="285">
        <f t="shared" si="24"/>
        <v>29710.578080424544</v>
      </c>
      <c r="AF38" s="285">
        <f t="shared" si="24"/>
        <v>30899.001203641525</v>
      </c>
      <c r="AG38" s="285">
        <f t="shared" si="24"/>
        <v>32134.961251787186</v>
      </c>
      <c r="AH38" s="285">
        <f t="shared" si="24"/>
        <v>33420.359701858673</v>
      </c>
      <c r="AI38" s="285">
        <f t="shared" ref="AI38:AJ38" si="25">AI33*$E$38</f>
        <v>34757.174089933025</v>
      </c>
      <c r="AJ38" s="285">
        <f t="shared" si="25"/>
        <v>36147.461053530351</v>
      </c>
    </row>
    <row r="39" spans="1:36" s="35" customFormat="1" ht="12" x14ac:dyDescent="0.15">
      <c r="B39" s="492"/>
      <c r="D39" s="296" t="s">
        <v>141</v>
      </c>
      <c r="E39" s="297">
        <f>F14</f>
        <v>100</v>
      </c>
      <c r="F39" s="298">
        <f>E39</f>
        <v>100</v>
      </c>
      <c r="G39" s="298">
        <f t="shared" ref="G39:AH39" si="26">MAX($E$40*$D$14,F39-$J$9)</f>
        <v>80</v>
      </c>
      <c r="H39" s="298">
        <f t="shared" si="26"/>
        <v>60</v>
      </c>
      <c r="I39" s="298">
        <f t="shared" si="26"/>
        <v>40</v>
      </c>
      <c r="J39" s="298">
        <f t="shared" si="26"/>
        <v>20.700000000000003</v>
      </c>
      <c r="K39" s="298">
        <f t="shared" si="26"/>
        <v>20.700000000000003</v>
      </c>
      <c r="L39" s="298">
        <f t="shared" si="26"/>
        <v>20.700000000000003</v>
      </c>
      <c r="M39" s="298">
        <f t="shared" si="26"/>
        <v>20.700000000000003</v>
      </c>
      <c r="N39" s="298">
        <f t="shared" si="26"/>
        <v>20.700000000000003</v>
      </c>
      <c r="O39" s="298">
        <f t="shared" si="26"/>
        <v>20.700000000000003</v>
      </c>
      <c r="P39" s="298">
        <f t="shared" si="26"/>
        <v>20.700000000000003</v>
      </c>
      <c r="Q39" s="298">
        <f t="shared" si="26"/>
        <v>20.700000000000003</v>
      </c>
      <c r="R39" s="298">
        <f t="shared" si="26"/>
        <v>20.700000000000003</v>
      </c>
      <c r="S39" s="298">
        <f t="shared" si="26"/>
        <v>20.700000000000003</v>
      </c>
      <c r="T39" s="298">
        <f t="shared" si="26"/>
        <v>20.700000000000003</v>
      </c>
      <c r="U39" s="298">
        <f t="shared" si="26"/>
        <v>20.700000000000003</v>
      </c>
      <c r="V39" s="298">
        <f t="shared" si="26"/>
        <v>20.700000000000003</v>
      </c>
      <c r="W39" s="298">
        <f t="shared" si="26"/>
        <v>20.700000000000003</v>
      </c>
      <c r="X39" s="298">
        <f t="shared" si="26"/>
        <v>20.700000000000003</v>
      </c>
      <c r="Y39" s="298">
        <f t="shared" si="26"/>
        <v>20.700000000000003</v>
      </c>
      <c r="Z39" s="298">
        <f t="shared" si="26"/>
        <v>20.700000000000003</v>
      </c>
      <c r="AA39" s="298">
        <f t="shared" si="26"/>
        <v>20.700000000000003</v>
      </c>
      <c r="AB39" s="298">
        <f t="shared" si="26"/>
        <v>20.700000000000003</v>
      </c>
      <c r="AC39" s="298">
        <f t="shared" si="26"/>
        <v>20.700000000000003</v>
      </c>
      <c r="AD39" s="298">
        <f t="shared" si="26"/>
        <v>20.700000000000003</v>
      </c>
      <c r="AE39" s="298">
        <f t="shared" si="26"/>
        <v>20.700000000000003</v>
      </c>
      <c r="AF39" s="298">
        <f t="shared" si="26"/>
        <v>20.700000000000003</v>
      </c>
      <c r="AG39" s="298">
        <f t="shared" si="26"/>
        <v>20.700000000000003</v>
      </c>
      <c r="AH39" s="298">
        <f t="shared" si="26"/>
        <v>20.700000000000003</v>
      </c>
      <c r="AI39" s="298">
        <f t="shared" ref="AI39" si="27">MAX($E$40*$D$14,AH39-$J$9)</f>
        <v>20.700000000000003</v>
      </c>
      <c r="AJ39" s="298">
        <f t="shared" ref="AJ39" si="28">MAX($E$40*$D$14,AI39-$J$9)</f>
        <v>20.700000000000003</v>
      </c>
    </row>
    <row r="40" spans="1:36" x14ac:dyDescent="0.15">
      <c r="A40" s="633"/>
      <c r="B40" s="491">
        <f t="shared" ref="B40:B43" si="29">(F40*12)</f>
        <v>-294000</v>
      </c>
      <c r="C40" s="636" t="str">
        <f>C36&amp;" Min Vacancy Rate"</f>
        <v>Timberline Min Vacancy Rate</v>
      </c>
      <c r="D40" s="149">
        <f>F40*12</f>
        <v>-294000</v>
      </c>
      <c r="E40" s="287">
        <v>0.1</v>
      </c>
      <c r="F40" s="285">
        <f>-F36*F39/$D$14</f>
        <v>-24500</v>
      </c>
      <c r="G40" s="285">
        <f t="shared" ref="G40:AH40" si="30">-G36*G39/$D$14</f>
        <v>-22400</v>
      </c>
      <c r="H40" s="285">
        <f t="shared" si="30"/>
        <v>-18900</v>
      </c>
      <c r="I40" s="285">
        <f t="shared" si="30"/>
        <v>-13800</v>
      </c>
      <c r="J40" s="285">
        <f t="shared" si="30"/>
        <v>-7659.0000000000009</v>
      </c>
      <c r="K40" s="285">
        <f t="shared" si="30"/>
        <v>-7965.3600000000015</v>
      </c>
      <c r="L40" s="285">
        <f t="shared" si="30"/>
        <v>-8283.9744000000028</v>
      </c>
      <c r="M40" s="285">
        <f t="shared" si="30"/>
        <v>-8615.3333760000005</v>
      </c>
      <c r="N40" s="285">
        <f t="shared" si="30"/>
        <v>-8959.9467110400019</v>
      </c>
      <c r="O40" s="285">
        <f t="shared" si="30"/>
        <v>-9318.3445794816016</v>
      </c>
      <c r="P40" s="285">
        <f t="shared" si="30"/>
        <v>-9691.0783626608663</v>
      </c>
      <c r="Q40" s="285">
        <f t="shared" si="30"/>
        <v>-10078.721497167302</v>
      </c>
      <c r="R40" s="285">
        <f t="shared" si="30"/>
        <v>-10481.870357053995</v>
      </c>
      <c r="S40" s="285">
        <f t="shared" si="30"/>
        <v>-10901.145171336155</v>
      </c>
      <c r="T40" s="285">
        <f t="shared" si="30"/>
        <v>-11337.190978189599</v>
      </c>
      <c r="U40" s="285">
        <f t="shared" si="30"/>
        <v>-11790.678617317184</v>
      </c>
      <c r="V40" s="285">
        <f t="shared" si="30"/>
        <v>-12262.30576200987</v>
      </c>
      <c r="W40" s="285">
        <f t="shared" si="30"/>
        <v>-12752.797992490267</v>
      </c>
      <c r="X40" s="285">
        <f t="shared" si="30"/>
        <v>-13262.909912189878</v>
      </c>
      <c r="Y40" s="285">
        <f t="shared" si="30"/>
        <v>-13793.426308677474</v>
      </c>
      <c r="Z40" s="285">
        <f t="shared" si="30"/>
        <v>-14345.16336102457</v>
      </c>
      <c r="AA40" s="285">
        <f t="shared" si="30"/>
        <v>-14918.969895465554</v>
      </c>
      <c r="AB40" s="285">
        <f t="shared" si="30"/>
        <v>-15515.728691284177</v>
      </c>
      <c r="AC40" s="285">
        <f t="shared" si="30"/>
        <v>-16136.357838935548</v>
      </c>
      <c r="AD40" s="285">
        <f t="shared" si="30"/>
        <v>-16781.812152492967</v>
      </c>
      <c r="AE40" s="285">
        <f t="shared" si="30"/>
        <v>-17453.084638592689</v>
      </c>
      <c r="AF40" s="285">
        <f t="shared" si="30"/>
        <v>-18151.208024136395</v>
      </c>
      <c r="AG40" s="285">
        <f t="shared" si="30"/>
        <v>-18877.25634510185</v>
      </c>
      <c r="AH40" s="285">
        <f t="shared" si="30"/>
        <v>-19632.346598905926</v>
      </c>
      <c r="AI40" s="285">
        <f t="shared" ref="AI40:AJ40" si="31">-AI36*AI39/$D$14</f>
        <v>-20417.640462862164</v>
      </c>
      <c r="AJ40" s="285">
        <f t="shared" si="31"/>
        <v>-21234.346081376651</v>
      </c>
    </row>
    <row r="41" spans="1:36" x14ac:dyDescent="0.15">
      <c r="A41" s="633"/>
      <c r="B41" s="491">
        <f t="shared" si="29"/>
        <v>-61056</v>
      </c>
      <c r="C41" s="636" t="str">
        <f>C37&amp;" Min Vacancy Rate"</f>
        <v>Echo Valley I Min Vacancy Rate</v>
      </c>
      <c r="D41" s="149">
        <f t="shared" ref="D41:D42" si="32">F41*12</f>
        <v>-61056</v>
      </c>
      <c r="E41" s="287">
        <v>0.8</v>
      </c>
      <c r="F41" s="285">
        <f>$E$41*-F37</f>
        <v>-5088</v>
      </c>
      <c r="G41" s="285">
        <f t="shared" ref="G41:AH41" si="33">$E$41*-G37</f>
        <v>-5688</v>
      </c>
      <c r="H41" s="285">
        <f t="shared" si="33"/>
        <v>-6288</v>
      </c>
      <c r="I41" s="285">
        <f t="shared" si="33"/>
        <v>-6888</v>
      </c>
      <c r="J41" s="285">
        <f t="shared" si="33"/>
        <v>-7488</v>
      </c>
      <c r="K41" s="285">
        <f t="shared" si="33"/>
        <v>-7787.5200000000013</v>
      </c>
      <c r="L41" s="285">
        <f t="shared" si="33"/>
        <v>-8099.0208000000002</v>
      </c>
      <c r="M41" s="285">
        <f t="shared" si="33"/>
        <v>-8422.9816320000009</v>
      </c>
      <c r="N41" s="285">
        <f t="shared" si="33"/>
        <v>-8759.9008972800002</v>
      </c>
      <c r="O41" s="285">
        <f t="shared" si="33"/>
        <v>-9110.2969331712011</v>
      </c>
      <c r="P41" s="285">
        <f t="shared" si="33"/>
        <v>-9474.7088104980485</v>
      </c>
      <c r="Q41" s="285">
        <f t="shared" si="33"/>
        <v>-9853.6971629179716</v>
      </c>
      <c r="R41" s="285">
        <f t="shared" si="33"/>
        <v>-10247.845049434691</v>
      </c>
      <c r="S41" s="285">
        <f t="shared" si="33"/>
        <v>-10657.75885141208</v>
      </c>
      <c r="T41" s="285">
        <f t="shared" si="33"/>
        <v>-11084.069205468564</v>
      </c>
      <c r="U41" s="285">
        <f t="shared" si="33"/>
        <v>-11527.431973687306</v>
      </c>
      <c r="V41" s="285">
        <f t="shared" si="33"/>
        <v>-11988.529252634798</v>
      </c>
      <c r="W41" s="285">
        <f t="shared" si="33"/>
        <v>-12468.070422740191</v>
      </c>
      <c r="X41" s="285">
        <f t="shared" si="33"/>
        <v>-12966.7932396498</v>
      </c>
      <c r="Y41" s="285">
        <f t="shared" si="33"/>
        <v>-13485.464969235793</v>
      </c>
      <c r="Z41" s="285">
        <f t="shared" si="33"/>
        <v>-14024.883568005223</v>
      </c>
      <c r="AA41" s="285">
        <f t="shared" si="33"/>
        <v>-14585.878910725436</v>
      </c>
      <c r="AB41" s="285">
        <f t="shared" si="33"/>
        <v>-15169.314067154453</v>
      </c>
      <c r="AC41" s="285">
        <f t="shared" si="33"/>
        <v>-15776.086629840633</v>
      </c>
      <c r="AD41" s="285">
        <f t="shared" si="33"/>
        <v>-16407.130095034259</v>
      </c>
      <c r="AE41" s="285">
        <f t="shared" si="33"/>
        <v>-17063.415298835633</v>
      </c>
      <c r="AF41" s="285">
        <f t="shared" si="33"/>
        <v>-17745.951910789056</v>
      </c>
      <c r="AG41" s="285">
        <f t="shared" si="33"/>
        <v>-18455.789987220618</v>
      </c>
      <c r="AH41" s="285">
        <f t="shared" si="33"/>
        <v>-19194.021586709448</v>
      </c>
      <c r="AI41" s="285">
        <f t="shared" ref="AI41:AJ41" si="34">$E$41*-AI37</f>
        <v>-19961.782450177823</v>
      </c>
      <c r="AJ41" s="285">
        <f t="shared" si="34"/>
        <v>-20760.253748184939</v>
      </c>
    </row>
    <row r="42" spans="1:36" x14ac:dyDescent="0.15">
      <c r="A42" s="633"/>
      <c r="B42" s="491">
        <f t="shared" si="29"/>
        <v>-56845.680000000008</v>
      </c>
      <c r="C42" s="636" t="str">
        <f t="shared" ref="C42" si="35">C38&amp;" Min Vacancy Rate"</f>
        <v>Echo Valley II Min Vacancy Rate</v>
      </c>
      <c r="D42" s="149">
        <f t="shared" si="32"/>
        <v>-56845.680000000008</v>
      </c>
      <c r="E42" s="287">
        <v>0.53</v>
      </c>
      <c r="F42" s="285">
        <f t="shared" ref="F42:AH42" si="36">$E$42*-F38</f>
        <v>-4737.1400000000003</v>
      </c>
      <c r="G42" s="285">
        <f t="shared" si="36"/>
        <v>-5280.39</v>
      </c>
      <c r="H42" s="285">
        <f t="shared" si="36"/>
        <v>-5823.64</v>
      </c>
      <c r="I42" s="285">
        <f t="shared" si="36"/>
        <v>-6366.89</v>
      </c>
      <c r="J42" s="285">
        <f t="shared" si="36"/>
        <v>-6910.14</v>
      </c>
      <c r="K42" s="285">
        <f t="shared" si="36"/>
        <v>-7186.5456000000004</v>
      </c>
      <c r="L42" s="285">
        <f t="shared" si="36"/>
        <v>-7474.0074240000022</v>
      </c>
      <c r="M42" s="285">
        <f t="shared" si="36"/>
        <v>-7772.9677209600013</v>
      </c>
      <c r="N42" s="285">
        <f t="shared" si="36"/>
        <v>-8083.886429798401</v>
      </c>
      <c r="O42" s="285">
        <f t="shared" si="36"/>
        <v>-8407.2418869903395</v>
      </c>
      <c r="P42" s="285">
        <f t="shared" si="36"/>
        <v>-8743.5315624699506</v>
      </c>
      <c r="Q42" s="285">
        <f t="shared" si="36"/>
        <v>-9093.2728249687516</v>
      </c>
      <c r="R42" s="285">
        <f t="shared" si="36"/>
        <v>-9457.0037379674995</v>
      </c>
      <c r="S42" s="285">
        <f t="shared" si="36"/>
        <v>-9835.2838874862009</v>
      </c>
      <c r="T42" s="285">
        <f t="shared" si="36"/>
        <v>-10228.695242985648</v>
      </c>
      <c r="U42" s="285">
        <f t="shared" si="36"/>
        <v>-10637.843052705075</v>
      </c>
      <c r="V42" s="285">
        <f t="shared" si="36"/>
        <v>-11063.356774813281</v>
      </c>
      <c r="W42" s="285">
        <f t="shared" si="36"/>
        <v>-11505.891045805811</v>
      </c>
      <c r="X42" s="285">
        <f t="shared" si="36"/>
        <v>-11966.126687638045</v>
      </c>
      <c r="Y42" s="285">
        <f t="shared" si="36"/>
        <v>-12444.771755143567</v>
      </c>
      <c r="Z42" s="285">
        <f t="shared" si="36"/>
        <v>-12942.56262534931</v>
      </c>
      <c r="AA42" s="285">
        <f t="shared" si="36"/>
        <v>-13460.265130363285</v>
      </c>
      <c r="AB42" s="285">
        <f t="shared" si="36"/>
        <v>-13998.675735577815</v>
      </c>
      <c r="AC42" s="285">
        <f t="shared" si="36"/>
        <v>-14558.622765000931</v>
      </c>
      <c r="AD42" s="285">
        <f t="shared" si="36"/>
        <v>-15140.967675600969</v>
      </c>
      <c r="AE42" s="285">
        <f t="shared" si="36"/>
        <v>-15746.606382625008</v>
      </c>
      <c r="AF42" s="285">
        <f t="shared" si="36"/>
        <v>-16376.47063793001</v>
      </c>
      <c r="AG42" s="285">
        <f t="shared" si="36"/>
        <v>-17031.529463447208</v>
      </c>
      <c r="AH42" s="285">
        <f t="shared" si="36"/>
        <v>-17712.790641985099</v>
      </c>
      <c r="AI42" s="285">
        <f t="shared" ref="AI42:AJ42" si="37">$E$42*-AI38</f>
        <v>-18421.302267664505</v>
      </c>
      <c r="AJ42" s="285">
        <f t="shared" si="37"/>
        <v>-19158.154358371088</v>
      </c>
    </row>
    <row r="43" spans="1:36" ht="14" thickBot="1" x14ac:dyDescent="0.2">
      <c r="A43" s="633">
        <v>4101</v>
      </c>
      <c r="B43" s="754">
        <f t="shared" si="29"/>
        <v>380254.32</v>
      </c>
      <c r="C43" s="755" t="s">
        <v>142</v>
      </c>
      <c r="D43" s="756">
        <f>(SUM(D36:D38)+SUM(D40:D42))</f>
        <v>342994.32</v>
      </c>
      <c r="E43" s="757">
        <f>F43*12</f>
        <v>380254.32</v>
      </c>
      <c r="F43" s="758">
        <f t="shared" ref="F43:AH43" si="38">SUM(F36:F38)+SUM(F40:F42)</f>
        <v>31687.86</v>
      </c>
      <c r="G43" s="758">
        <f t="shared" si="38"/>
        <v>41664.61</v>
      </c>
      <c r="H43" s="758">
        <f t="shared" si="38"/>
        <v>53041.36</v>
      </c>
      <c r="I43" s="758">
        <f t="shared" si="38"/>
        <v>64983.11</v>
      </c>
      <c r="J43" s="758">
        <f t="shared" si="38"/>
        <v>76930.86</v>
      </c>
      <c r="K43" s="758">
        <f t="shared" si="38"/>
        <v>80008.094400000002</v>
      </c>
      <c r="L43" s="758">
        <f t="shared" si="38"/>
        <v>83208.418176000006</v>
      </c>
      <c r="M43" s="758">
        <f t="shared" si="38"/>
        <v>86536.754903039982</v>
      </c>
      <c r="N43" s="758">
        <f t="shared" si="38"/>
        <v>89998.225099161602</v>
      </c>
      <c r="O43" s="758">
        <f t="shared" si="38"/>
        <v>93598.154103128065</v>
      </c>
      <c r="P43" s="758">
        <f t="shared" si="38"/>
        <v>97342.080267253201</v>
      </c>
      <c r="Q43" s="758">
        <f t="shared" si="38"/>
        <v>101235.76347794331</v>
      </c>
      <c r="R43" s="758">
        <f t="shared" si="38"/>
        <v>105285.19401706109</v>
      </c>
      <c r="S43" s="758">
        <f t="shared" si="38"/>
        <v>109496.60177774352</v>
      </c>
      <c r="T43" s="758">
        <f t="shared" si="38"/>
        <v>113876.46584885326</v>
      </c>
      <c r="U43" s="758">
        <f t="shared" si="38"/>
        <v>118431.52448280738</v>
      </c>
      <c r="V43" s="758">
        <f t="shared" si="38"/>
        <v>123168.78546211967</v>
      </c>
      <c r="W43" s="758">
        <f t="shared" si="38"/>
        <v>128095.53688060446</v>
      </c>
      <c r="X43" s="758">
        <f t="shared" si="38"/>
        <v>133219.35835582868</v>
      </c>
      <c r="Y43" s="758">
        <f t="shared" si="38"/>
        <v>138548.13269006182</v>
      </c>
      <c r="Z43" s="758">
        <f t="shared" si="38"/>
        <v>144090.05799766426</v>
      </c>
      <c r="AA43" s="758">
        <f t="shared" si="38"/>
        <v>149853.66031757084</v>
      </c>
      <c r="AB43" s="758">
        <f t="shared" si="38"/>
        <v>155847.80673027367</v>
      </c>
      <c r="AC43" s="758">
        <f t="shared" si="38"/>
        <v>162081.71899948467</v>
      </c>
      <c r="AD43" s="758">
        <f t="shared" si="38"/>
        <v>168564.98775946401</v>
      </c>
      <c r="AE43" s="758">
        <f t="shared" si="38"/>
        <v>175307.5872698426</v>
      </c>
      <c r="AF43" s="758">
        <f t="shared" si="38"/>
        <v>182319.89076063631</v>
      </c>
      <c r="AG43" s="758">
        <f t="shared" si="38"/>
        <v>189612.68639106175</v>
      </c>
      <c r="AH43" s="758">
        <f t="shared" si="38"/>
        <v>197197.19384670421</v>
      </c>
      <c r="AI43" s="758">
        <f t="shared" ref="AI43:AJ43" si="39">SUM(AI36:AI38)+SUM(AI40:AI42)</f>
        <v>205085.08160057245</v>
      </c>
      <c r="AJ43" s="758">
        <f t="shared" si="39"/>
        <v>213288.48486459532</v>
      </c>
    </row>
    <row r="44" spans="1:36" ht="14" thickTop="1" x14ac:dyDescent="0.15">
      <c r="A44" s="633"/>
      <c r="C44" s="693"/>
      <c r="D44" s="25"/>
      <c r="E44" s="344"/>
      <c r="F44" s="497" t="s">
        <v>143</v>
      </c>
      <c r="G44" s="497" t="s">
        <v>144</v>
      </c>
      <c r="H44" s="498" t="s">
        <v>145</v>
      </c>
      <c r="I44" s="498" t="s">
        <v>146</v>
      </c>
      <c r="J44" s="498" t="s">
        <v>147</v>
      </c>
      <c r="K44" s="498" t="s">
        <v>148</v>
      </c>
      <c r="L44" s="633"/>
      <c r="M44" s="499" t="s">
        <v>149</v>
      </c>
      <c r="N44" s="499" t="s">
        <v>150</v>
      </c>
      <c r="O44" s="500" t="s">
        <v>151</v>
      </c>
      <c r="P44" s="500" t="s">
        <v>152</v>
      </c>
      <c r="Q44" s="500" t="s">
        <v>153</v>
      </c>
      <c r="R44" s="500" t="s">
        <v>154</v>
      </c>
      <c r="S44" s="633"/>
      <c r="T44" s="633"/>
      <c r="U44" s="633"/>
      <c r="V44" s="633"/>
      <c r="W44" s="633"/>
      <c r="X44" s="633"/>
      <c r="Y44" s="633"/>
      <c r="Z44" s="633"/>
      <c r="AA44" s="633"/>
      <c r="AB44" s="633"/>
      <c r="AC44" s="633"/>
      <c r="AD44" s="633"/>
      <c r="AE44" s="633"/>
      <c r="AF44" s="633"/>
      <c r="AG44" s="633"/>
      <c r="AH44" s="633"/>
      <c r="AI44" s="633"/>
      <c r="AJ44" s="633"/>
    </row>
    <row r="45" spans="1:36" ht="16" x14ac:dyDescent="0.3">
      <c r="A45" s="633"/>
      <c r="C45" s="11" t="s">
        <v>155</v>
      </c>
      <c r="D45" s="26" t="s">
        <v>156</v>
      </c>
      <c r="E45" s="345" t="s">
        <v>156</v>
      </c>
      <c r="F45" s="502" t="e">
        <f ca="1">F50/F65</f>
        <v>#DIV/0!</v>
      </c>
      <c r="G45" s="502">
        <f>F49/F64</f>
        <v>0</v>
      </c>
      <c r="H45" s="502">
        <f ca="1">(F49+F50)/(F64+F65)</f>
        <v>4.6896763738077976</v>
      </c>
      <c r="I45" s="502">
        <f>F48/F63</f>
        <v>0</v>
      </c>
      <c r="J45" s="502">
        <f>F46/F61</f>
        <v>0</v>
      </c>
      <c r="K45" s="502">
        <f>F47/F62</f>
        <v>0</v>
      </c>
      <c r="L45" s="633"/>
      <c r="M45" s="501">
        <f>+F50/OccPadsNum</f>
        <v>46.804924242424242</v>
      </c>
      <c r="N45" s="501">
        <f>+F49/OccPadsNum</f>
        <v>0</v>
      </c>
      <c r="O45" s="501">
        <f>+(F49+F50)/OccPadsNum</f>
        <v>46.804924242424242</v>
      </c>
      <c r="P45" s="501">
        <f>+F48/OccPadsNum</f>
        <v>0</v>
      </c>
      <c r="Q45" s="501">
        <f>+F46/OccPadsNum</f>
        <v>0</v>
      </c>
      <c r="R45" s="501">
        <f>+F47/OccPadsNum</f>
        <v>0</v>
      </c>
      <c r="S45" s="633"/>
      <c r="T45" s="633"/>
      <c r="U45" s="633"/>
      <c r="V45" s="633"/>
      <c r="W45" s="633"/>
      <c r="X45" s="633"/>
      <c r="Y45" s="633"/>
      <c r="Z45" s="633"/>
      <c r="AA45" s="633"/>
      <c r="AB45" s="633"/>
      <c r="AC45" s="633"/>
      <c r="AD45" s="633"/>
      <c r="AE45" s="633"/>
      <c r="AF45" s="633"/>
      <c r="AG45" s="633"/>
      <c r="AH45" s="633"/>
      <c r="AI45" s="633"/>
      <c r="AJ45" s="633"/>
    </row>
    <row r="46" spans="1:36" x14ac:dyDescent="0.15">
      <c r="A46" s="683">
        <v>4403</v>
      </c>
      <c r="B46" s="493">
        <f t="shared" ref="B46:B55" si="40">(F46*12)</f>
        <v>0</v>
      </c>
      <c r="C46" s="636" t="s">
        <v>157</v>
      </c>
      <c r="D46" s="146">
        <v>0</v>
      </c>
      <c r="E46" s="287"/>
      <c r="F46" s="285">
        <f>D46/12</f>
        <v>0</v>
      </c>
      <c r="G46" s="285">
        <f t="shared" ref="G46:AH46" si="41">F46*(1+GlobalInflation)</f>
        <v>0</v>
      </c>
      <c r="H46" s="285">
        <f t="shared" si="41"/>
        <v>0</v>
      </c>
      <c r="I46" s="285">
        <f t="shared" si="41"/>
        <v>0</v>
      </c>
      <c r="J46" s="285">
        <f t="shared" si="41"/>
        <v>0</v>
      </c>
      <c r="K46" s="285">
        <f t="shared" si="41"/>
        <v>0</v>
      </c>
      <c r="L46" s="285">
        <f t="shared" si="41"/>
        <v>0</v>
      </c>
      <c r="M46" s="285">
        <f t="shared" si="41"/>
        <v>0</v>
      </c>
      <c r="N46" s="285">
        <f t="shared" si="41"/>
        <v>0</v>
      </c>
      <c r="O46" s="285">
        <f t="shared" si="41"/>
        <v>0</v>
      </c>
      <c r="P46" s="285">
        <f t="shared" si="41"/>
        <v>0</v>
      </c>
      <c r="Q46" s="285">
        <f t="shared" si="41"/>
        <v>0</v>
      </c>
      <c r="R46" s="285">
        <f t="shared" si="41"/>
        <v>0</v>
      </c>
      <c r="S46" s="285">
        <f t="shared" si="41"/>
        <v>0</v>
      </c>
      <c r="T46" s="285">
        <f t="shared" si="41"/>
        <v>0</v>
      </c>
      <c r="U46" s="285">
        <f t="shared" si="41"/>
        <v>0</v>
      </c>
      <c r="V46" s="285">
        <f t="shared" si="41"/>
        <v>0</v>
      </c>
      <c r="W46" s="285">
        <f t="shared" si="41"/>
        <v>0</v>
      </c>
      <c r="X46" s="285">
        <f t="shared" si="41"/>
        <v>0</v>
      </c>
      <c r="Y46" s="285">
        <f t="shared" si="41"/>
        <v>0</v>
      </c>
      <c r="Z46" s="285">
        <f t="shared" si="41"/>
        <v>0</v>
      </c>
      <c r="AA46" s="285">
        <f t="shared" si="41"/>
        <v>0</v>
      </c>
      <c r="AB46" s="285">
        <f t="shared" si="41"/>
        <v>0</v>
      </c>
      <c r="AC46" s="285">
        <f t="shared" si="41"/>
        <v>0</v>
      </c>
      <c r="AD46" s="285">
        <f t="shared" si="41"/>
        <v>0</v>
      </c>
      <c r="AE46" s="285">
        <f t="shared" si="41"/>
        <v>0</v>
      </c>
      <c r="AF46" s="285">
        <f t="shared" si="41"/>
        <v>0</v>
      </c>
      <c r="AG46" s="285">
        <f t="shared" si="41"/>
        <v>0</v>
      </c>
      <c r="AH46" s="285">
        <f t="shared" si="41"/>
        <v>0</v>
      </c>
      <c r="AI46" s="285">
        <f t="shared" ref="AI46:AI51" si="42">AH46*(1+GlobalInflation)</f>
        <v>0</v>
      </c>
      <c r="AJ46" s="285">
        <f t="shared" ref="AJ46:AJ51" si="43">AI46*(1+GlobalInflation)</f>
        <v>0</v>
      </c>
    </row>
    <row r="47" spans="1:36" x14ac:dyDescent="0.15">
      <c r="A47" s="683">
        <v>4401</v>
      </c>
      <c r="B47" s="493">
        <f t="shared" si="40"/>
        <v>0</v>
      </c>
      <c r="C47" s="636" t="s">
        <v>158</v>
      </c>
      <c r="D47" s="146">
        <v>0</v>
      </c>
      <c r="E47" s="287"/>
      <c r="F47" s="285">
        <f t="shared" ref="F47:F51" si="44">D47/12</f>
        <v>0</v>
      </c>
      <c r="G47" s="285">
        <f t="shared" ref="G47:AH47" si="45">F47*(1+GlobalInflation)</f>
        <v>0</v>
      </c>
      <c r="H47" s="285">
        <f t="shared" si="45"/>
        <v>0</v>
      </c>
      <c r="I47" s="285">
        <f t="shared" si="45"/>
        <v>0</v>
      </c>
      <c r="J47" s="285">
        <f t="shared" si="45"/>
        <v>0</v>
      </c>
      <c r="K47" s="285">
        <f t="shared" si="45"/>
        <v>0</v>
      </c>
      <c r="L47" s="285">
        <f t="shared" si="45"/>
        <v>0</v>
      </c>
      <c r="M47" s="285">
        <f t="shared" si="45"/>
        <v>0</v>
      </c>
      <c r="N47" s="285">
        <f t="shared" si="45"/>
        <v>0</v>
      </c>
      <c r="O47" s="285">
        <f t="shared" si="45"/>
        <v>0</v>
      </c>
      <c r="P47" s="285">
        <f t="shared" si="45"/>
        <v>0</v>
      </c>
      <c r="Q47" s="285">
        <f t="shared" si="45"/>
        <v>0</v>
      </c>
      <c r="R47" s="285">
        <f t="shared" si="45"/>
        <v>0</v>
      </c>
      <c r="S47" s="285">
        <f t="shared" si="45"/>
        <v>0</v>
      </c>
      <c r="T47" s="285">
        <f t="shared" si="45"/>
        <v>0</v>
      </c>
      <c r="U47" s="285">
        <f t="shared" si="45"/>
        <v>0</v>
      </c>
      <c r="V47" s="285">
        <f t="shared" si="45"/>
        <v>0</v>
      </c>
      <c r="W47" s="285">
        <f t="shared" si="45"/>
        <v>0</v>
      </c>
      <c r="X47" s="285">
        <f t="shared" si="45"/>
        <v>0</v>
      </c>
      <c r="Y47" s="285">
        <f t="shared" si="45"/>
        <v>0</v>
      </c>
      <c r="Z47" s="285">
        <f t="shared" si="45"/>
        <v>0</v>
      </c>
      <c r="AA47" s="285">
        <f t="shared" si="45"/>
        <v>0</v>
      </c>
      <c r="AB47" s="285">
        <f t="shared" si="45"/>
        <v>0</v>
      </c>
      <c r="AC47" s="285">
        <f t="shared" si="45"/>
        <v>0</v>
      </c>
      <c r="AD47" s="285">
        <f t="shared" si="45"/>
        <v>0</v>
      </c>
      <c r="AE47" s="285">
        <f t="shared" si="45"/>
        <v>0</v>
      </c>
      <c r="AF47" s="285">
        <f t="shared" si="45"/>
        <v>0</v>
      </c>
      <c r="AG47" s="285">
        <f t="shared" si="45"/>
        <v>0</v>
      </c>
      <c r="AH47" s="285">
        <f t="shared" si="45"/>
        <v>0</v>
      </c>
      <c r="AI47" s="285">
        <f t="shared" si="42"/>
        <v>0</v>
      </c>
      <c r="AJ47" s="285">
        <f t="shared" si="43"/>
        <v>0</v>
      </c>
    </row>
    <row r="48" spans="1:36" x14ac:dyDescent="0.15">
      <c r="A48" s="683">
        <v>4404</v>
      </c>
      <c r="B48" s="493">
        <f t="shared" si="40"/>
        <v>0</v>
      </c>
      <c r="C48" s="636" t="s">
        <v>159</v>
      </c>
      <c r="D48" s="146">
        <v>0</v>
      </c>
      <c r="E48" s="287"/>
      <c r="F48" s="285">
        <f t="shared" si="44"/>
        <v>0</v>
      </c>
      <c r="G48" s="285">
        <f t="shared" ref="G48:AH48" si="46">F48*(1+GlobalInflation)</f>
        <v>0</v>
      </c>
      <c r="H48" s="285">
        <f t="shared" si="46"/>
        <v>0</v>
      </c>
      <c r="I48" s="285">
        <f t="shared" si="46"/>
        <v>0</v>
      </c>
      <c r="J48" s="285">
        <f t="shared" si="46"/>
        <v>0</v>
      </c>
      <c r="K48" s="285">
        <f t="shared" si="46"/>
        <v>0</v>
      </c>
      <c r="L48" s="285">
        <f t="shared" si="46"/>
        <v>0</v>
      </c>
      <c r="M48" s="285">
        <f t="shared" si="46"/>
        <v>0</v>
      </c>
      <c r="N48" s="285">
        <f t="shared" si="46"/>
        <v>0</v>
      </c>
      <c r="O48" s="285">
        <f t="shared" si="46"/>
        <v>0</v>
      </c>
      <c r="P48" s="285">
        <f t="shared" si="46"/>
        <v>0</v>
      </c>
      <c r="Q48" s="285">
        <f t="shared" si="46"/>
        <v>0</v>
      </c>
      <c r="R48" s="285">
        <f t="shared" si="46"/>
        <v>0</v>
      </c>
      <c r="S48" s="285">
        <f t="shared" si="46"/>
        <v>0</v>
      </c>
      <c r="T48" s="285">
        <f t="shared" si="46"/>
        <v>0</v>
      </c>
      <c r="U48" s="285">
        <f t="shared" si="46"/>
        <v>0</v>
      </c>
      <c r="V48" s="285">
        <f t="shared" si="46"/>
        <v>0</v>
      </c>
      <c r="W48" s="285">
        <f t="shared" si="46"/>
        <v>0</v>
      </c>
      <c r="X48" s="285">
        <f t="shared" si="46"/>
        <v>0</v>
      </c>
      <c r="Y48" s="285">
        <f t="shared" si="46"/>
        <v>0</v>
      </c>
      <c r="Z48" s="285">
        <f t="shared" si="46"/>
        <v>0</v>
      </c>
      <c r="AA48" s="285">
        <f t="shared" si="46"/>
        <v>0</v>
      </c>
      <c r="AB48" s="285">
        <f t="shared" si="46"/>
        <v>0</v>
      </c>
      <c r="AC48" s="285">
        <f t="shared" si="46"/>
        <v>0</v>
      </c>
      <c r="AD48" s="285">
        <f t="shared" si="46"/>
        <v>0</v>
      </c>
      <c r="AE48" s="285">
        <f t="shared" si="46"/>
        <v>0</v>
      </c>
      <c r="AF48" s="285">
        <f t="shared" si="46"/>
        <v>0</v>
      </c>
      <c r="AG48" s="285">
        <f t="shared" si="46"/>
        <v>0</v>
      </c>
      <c r="AH48" s="285">
        <f t="shared" si="46"/>
        <v>0</v>
      </c>
      <c r="AI48" s="285">
        <f t="shared" si="42"/>
        <v>0</v>
      </c>
      <c r="AJ48" s="285">
        <f t="shared" si="43"/>
        <v>0</v>
      </c>
    </row>
    <row r="49" spans="1:42" x14ac:dyDescent="0.15">
      <c r="A49" s="683">
        <v>4405</v>
      </c>
      <c r="B49" s="493">
        <f t="shared" si="40"/>
        <v>0</v>
      </c>
      <c r="C49" s="636" t="s">
        <v>160</v>
      </c>
      <c r="D49" s="146">
        <v>0</v>
      </c>
      <c r="E49" s="287"/>
      <c r="F49" s="285">
        <f t="shared" si="44"/>
        <v>0</v>
      </c>
      <c r="G49" s="285">
        <f t="shared" ref="G49:AH49" si="47">F49*(1+GlobalInflation)</f>
        <v>0</v>
      </c>
      <c r="H49" s="285">
        <f t="shared" si="47"/>
        <v>0</v>
      </c>
      <c r="I49" s="285">
        <f t="shared" si="47"/>
        <v>0</v>
      </c>
      <c r="J49" s="285">
        <f t="shared" si="47"/>
        <v>0</v>
      </c>
      <c r="K49" s="285">
        <f t="shared" si="47"/>
        <v>0</v>
      </c>
      <c r="L49" s="285">
        <f t="shared" si="47"/>
        <v>0</v>
      </c>
      <c r="M49" s="285">
        <f t="shared" si="47"/>
        <v>0</v>
      </c>
      <c r="N49" s="285">
        <f t="shared" si="47"/>
        <v>0</v>
      </c>
      <c r="O49" s="285">
        <f t="shared" si="47"/>
        <v>0</v>
      </c>
      <c r="P49" s="285">
        <f t="shared" si="47"/>
        <v>0</v>
      </c>
      <c r="Q49" s="285">
        <f t="shared" si="47"/>
        <v>0</v>
      </c>
      <c r="R49" s="285">
        <f t="shared" si="47"/>
        <v>0</v>
      </c>
      <c r="S49" s="285">
        <f t="shared" si="47"/>
        <v>0</v>
      </c>
      <c r="T49" s="285">
        <f t="shared" si="47"/>
        <v>0</v>
      </c>
      <c r="U49" s="285">
        <f t="shared" si="47"/>
        <v>0</v>
      </c>
      <c r="V49" s="285">
        <f t="shared" si="47"/>
        <v>0</v>
      </c>
      <c r="W49" s="285">
        <f t="shared" si="47"/>
        <v>0</v>
      </c>
      <c r="X49" s="285">
        <f t="shared" si="47"/>
        <v>0</v>
      </c>
      <c r="Y49" s="285">
        <f t="shared" si="47"/>
        <v>0</v>
      </c>
      <c r="Z49" s="285">
        <f t="shared" si="47"/>
        <v>0</v>
      </c>
      <c r="AA49" s="285">
        <f t="shared" si="47"/>
        <v>0</v>
      </c>
      <c r="AB49" s="285">
        <f t="shared" si="47"/>
        <v>0</v>
      </c>
      <c r="AC49" s="285">
        <f t="shared" si="47"/>
        <v>0</v>
      </c>
      <c r="AD49" s="285">
        <f t="shared" si="47"/>
        <v>0</v>
      </c>
      <c r="AE49" s="285">
        <f t="shared" si="47"/>
        <v>0</v>
      </c>
      <c r="AF49" s="285">
        <f t="shared" si="47"/>
        <v>0</v>
      </c>
      <c r="AG49" s="285">
        <f t="shared" si="47"/>
        <v>0</v>
      </c>
      <c r="AH49" s="285">
        <f t="shared" si="47"/>
        <v>0</v>
      </c>
      <c r="AI49" s="285">
        <f t="shared" si="42"/>
        <v>0</v>
      </c>
      <c r="AJ49" s="285">
        <f t="shared" si="43"/>
        <v>0</v>
      </c>
      <c r="AK49" s="633"/>
      <c r="AL49" s="633"/>
      <c r="AM49" s="633"/>
      <c r="AN49" s="633"/>
      <c r="AO49" s="633"/>
      <c r="AP49" s="633"/>
    </row>
    <row r="50" spans="1:42" x14ac:dyDescent="0.15">
      <c r="A50" s="683">
        <v>4402</v>
      </c>
      <c r="B50" s="493">
        <f t="shared" si="40"/>
        <v>74139</v>
      </c>
      <c r="C50" s="636" t="s">
        <v>161</v>
      </c>
      <c r="D50" s="146">
        <v>74139</v>
      </c>
      <c r="E50" s="287"/>
      <c r="F50" s="285">
        <f t="shared" si="44"/>
        <v>6178.25</v>
      </c>
      <c r="G50" s="285">
        <f t="shared" ref="G50:AH50" si="48">F50*(1+GlobalInflation)</f>
        <v>6301.8150000000005</v>
      </c>
      <c r="H50" s="285">
        <f t="shared" si="48"/>
        <v>6427.8513000000003</v>
      </c>
      <c r="I50" s="285">
        <f t="shared" si="48"/>
        <v>6556.4083260000007</v>
      </c>
      <c r="J50" s="285">
        <f t="shared" si="48"/>
        <v>6687.536492520001</v>
      </c>
      <c r="K50" s="285">
        <f t="shared" si="48"/>
        <v>6821.2872223704007</v>
      </c>
      <c r="L50" s="285">
        <f t="shared" si="48"/>
        <v>6957.7129668178086</v>
      </c>
      <c r="M50" s="285">
        <f t="shared" si="48"/>
        <v>7096.8672261541651</v>
      </c>
      <c r="N50" s="285">
        <f t="shared" si="48"/>
        <v>7238.8045706772482</v>
      </c>
      <c r="O50" s="285">
        <f t="shared" si="48"/>
        <v>7383.5806620907933</v>
      </c>
      <c r="P50" s="285">
        <f t="shared" si="48"/>
        <v>7531.2522753326093</v>
      </c>
      <c r="Q50" s="285">
        <f t="shared" si="48"/>
        <v>7681.8773208392613</v>
      </c>
      <c r="R50" s="285">
        <f t="shared" si="48"/>
        <v>7835.5148672560463</v>
      </c>
      <c r="S50" s="285">
        <f t="shared" si="48"/>
        <v>7992.2251646011673</v>
      </c>
      <c r="T50" s="285">
        <f t="shared" si="48"/>
        <v>8152.0696678931909</v>
      </c>
      <c r="U50" s="285">
        <f t="shared" si="48"/>
        <v>8315.1110612510547</v>
      </c>
      <c r="V50" s="285">
        <f t="shared" si="48"/>
        <v>8481.4132824760763</v>
      </c>
      <c r="W50" s="285">
        <f t="shared" si="48"/>
        <v>8651.0415481255986</v>
      </c>
      <c r="X50" s="285">
        <f t="shared" si="48"/>
        <v>8824.0623790881109</v>
      </c>
      <c r="Y50" s="285">
        <f t="shared" si="48"/>
        <v>9000.5436266698725</v>
      </c>
      <c r="Z50" s="285">
        <f t="shared" si="48"/>
        <v>9180.5544992032701</v>
      </c>
      <c r="AA50" s="285">
        <f t="shared" si="48"/>
        <v>9364.1655891873361</v>
      </c>
      <c r="AB50" s="285">
        <f t="shared" si="48"/>
        <v>9551.4489009710833</v>
      </c>
      <c r="AC50" s="285">
        <f t="shared" si="48"/>
        <v>9742.4778789905049</v>
      </c>
      <c r="AD50" s="285">
        <f t="shared" si="48"/>
        <v>9937.3274365703146</v>
      </c>
      <c r="AE50" s="285">
        <f t="shared" si="48"/>
        <v>10136.07398530172</v>
      </c>
      <c r="AF50" s="285">
        <f t="shared" si="48"/>
        <v>10338.795465007755</v>
      </c>
      <c r="AG50" s="285">
        <f t="shared" si="48"/>
        <v>10545.57137430791</v>
      </c>
      <c r="AH50" s="285">
        <f t="shared" si="48"/>
        <v>10756.482801794069</v>
      </c>
      <c r="AI50" s="285">
        <f t="shared" si="42"/>
        <v>10971.612457829951</v>
      </c>
      <c r="AJ50" s="285">
        <f t="shared" si="43"/>
        <v>11191.044706986551</v>
      </c>
      <c r="AK50" s="633"/>
      <c r="AL50" s="633"/>
      <c r="AM50" s="633"/>
      <c r="AN50" s="633"/>
      <c r="AO50" s="633"/>
      <c r="AP50" s="633"/>
    </row>
    <row r="51" spans="1:42" x14ac:dyDescent="0.15">
      <c r="A51" s="683">
        <v>4998</v>
      </c>
      <c r="B51" s="494">
        <f t="shared" si="40"/>
        <v>0</v>
      </c>
      <c r="C51" s="636" t="s">
        <v>162</v>
      </c>
      <c r="D51" s="150">
        <v>0</v>
      </c>
      <c r="E51" s="288"/>
      <c r="F51" s="285">
        <f t="shared" si="44"/>
        <v>0</v>
      </c>
      <c r="G51" s="285">
        <f t="shared" ref="G51:AH51" si="49">F51*(1+GlobalInflation)</f>
        <v>0</v>
      </c>
      <c r="H51" s="285">
        <f t="shared" si="49"/>
        <v>0</v>
      </c>
      <c r="I51" s="285">
        <f t="shared" si="49"/>
        <v>0</v>
      </c>
      <c r="J51" s="285">
        <f t="shared" si="49"/>
        <v>0</v>
      </c>
      <c r="K51" s="285">
        <f t="shared" si="49"/>
        <v>0</v>
      </c>
      <c r="L51" s="285">
        <f t="shared" si="49"/>
        <v>0</v>
      </c>
      <c r="M51" s="285">
        <f t="shared" si="49"/>
        <v>0</v>
      </c>
      <c r="N51" s="285">
        <f t="shared" si="49"/>
        <v>0</v>
      </c>
      <c r="O51" s="285">
        <f t="shared" si="49"/>
        <v>0</v>
      </c>
      <c r="P51" s="285">
        <f t="shared" si="49"/>
        <v>0</v>
      </c>
      <c r="Q51" s="285">
        <f t="shared" si="49"/>
        <v>0</v>
      </c>
      <c r="R51" s="285">
        <f t="shared" si="49"/>
        <v>0</v>
      </c>
      <c r="S51" s="285">
        <f t="shared" si="49"/>
        <v>0</v>
      </c>
      <c r="T51" s="285">
        <f t="shared" si="49"/>
        <v>0</v>
      </c>
      <c r="U51" s="285">
        <f t="shared" si="49"/>
        <v>0</v>
      </c>
      <c r="V51" s="285">
        <f t="shared" si="49"/>
        <v>0</v>
      </c>
      <c r="W51" s="285">
        <f t="shared" si="49"/>
        <v>0</v>
      </c>
      <c r="X51" s="285">
        <f t="shared" si="49"/>
        <v>0</v>
      </c>
      <c r="Y51" s="285">
        <f t="shared" si="49"/>
        <v>0</v>
      </c>
      <c r="Z51" s="285">
        <f t="shared" si="49"/>
        <v>0</v>
      </c>
      <c r="AA51" s="285">
        <f t="shared" si="49"/>
        <v>0</v>
      </c>
      <c r="AB51" s="285">
        <f t="shared" si="49"/>
        <v>0</v>
      </c>
      <c r="AC51" s="285">
        <f t="shared" si="49"/>
        <v>0</v>
      </c>
      <c r="AD51" s="285">
        <f t="shared" si="49"/>
        <v>0</v>
      </c>
      <c r="AE51" s="285">
        <f t="shared" si="49"/>
        <v>0</v>
      </c>
      <c r="AF51" s="285">
        <f t="shared" si="49"/>
        <v>0</v>
      </c>
      <c r="AG51" s="285">
        <f t="shared" si="49"/>
        <v>0</v>
      </c>
      <c r="AH51" s="285">
        <f t="shared" si="49"/>
        <v>0</v>
      </c>
      <c r="AI51" s="285">
        <f t="shared" si="42"/>
        <v>0</v>
      </c>
      <c r="AJ51" s="285">
        <f t="shared" si="43"/>
        <v>0</v>
      </c>
      <c r="AK51" s="633"/>
      <c r="AL51" s="633"/>
      <c r="AM51" s="633"/>
      <c r="AN51" s="633"/>
      <c r="AO51" s="633"/>
      <c r="AP51" s="633"/>
    </row>
    <row r="52" spans="1:42" x14ac:dyDescent="0.15">
      <c r="A52" s="633"/>
      <c r="B52" s="493">
        <f t="shared" si="40"/>
        <v>74139</v>
      </c>
      <c r="C52" s="759" t="s">
        <v>163</v>
      </c>
      <c r="D52" s="151">
        <f>SUM(D46:D51)</f>
        <v>74139</v>
      </c>
      <c r="E52" s="760">
        <f>F52*12</f>
        <v>74139</v>
      </c>
      <c r="F52" s="761">
        <f t="shared" ref="F52:AH52" si="50">SUM(F46:F51)</f>
        <v>6178.25</v>
      </c>
      <c r="G52" s="761">
        <f t="shared" si="50"/>
        <v>6301.8150000000005</v>
      </c>
      <c r="H52" s="761">
        <f t="shared" si="50"/>
        <v>6427.8513000000003</v>
      </c>
      <c r="I52" s="761">
        <f t="shared" si="50"/>
        <v>6556.4083260000007</v>
      </c>
      <c r="J52" s="761">
        <f t="shared" si="50"/>
        <v>6687.536492520001</v>
      </c>
      <c r="K52" s="761">
        <f t="shared" si="50"/>
        <v>6821.2872223704007</v>
      </c>
      <c r="L52" s="761">
        <f t="shared" si="50"/>
        <v>6957.7129668178086</v>
      </c>
      <c r="M52" s="761">
        <f t="shared" si="50"/>
        <v>7096.8672261541651</v>
      </c>
      <c r="N52" s="761">
        <f t="shared" si="50"/>
        <v>7238.8045706772482</v>
      </c>
      <c r="O52" s="761">
        <f t="shared" si="50"/>
        <v>7383.5806620907933</v>
      </c>
      <c r="P52" s="761">
        <f t="shared" si="50"/>
        <v>7531.2522753326093</v>
      </c>
      <c r="Q52" s="761">
        <f t="shared" si="50"/>
        <v>7681.8773208392613</v>
      </c>
      <c r="R52" s="761">
        <f t="shared" si="50"/>
        <v>7835.5148672560463</v>
      </c>
      <c r="S52" s="761">
        <f t="shared" si="50"/>
        <v>7992.2251646011673</v>
      </c>
      <c r="T52" s="761">
        <f t="shared" si="50"/>
        <v>8152.0696678931909</v>
      </c>
      <c r="U52" s="761">
        <f t="shared" si="50"/>
        <v>8315.1110612510547</v>
      </c>
      <c r="V52" s="761">
        <f t="shared" si="50"/>
        <v>8481.4132824760763</v>
      </c>
      <c r="W52" s="761">
        <f t="shared" si="50"/>
        <v>8651.0415481255986</v>
      </c>
      <c r="X52" s="761">
        <f t="shared" si="50"/>
        <v>8824.0623790881109</v>
      </c>
      <c r="Y52" s="761">
        <f t="shared" si="50"/>
        <v>9000.5436266698725</v>
      </c>
      <c r="Z52" s="761">
        <f t="shared" si="50"/>
        <v>9180.5544992032701</v>
      </c>
      <c r="AA52" s="761">
        <f t="shared" si="50"/>
        <v>9364.1655891873361</v>
      </c>
      <c r="AB52" s="761">
        <f t="shared" si="50"/>
        <v>9551.4489009710833</v>
      </c>
      <c r="AC52" s="761">
        <f t="shared" si="50"/>
        <v>9742.4778789905049</v>
      </c>
      <c r="AD52" s="761">
        <f t="shared" si="50"/>
        <v>9937.3274365703146</v>
      </c>
      <c r="AE52" s="761">
        <f t="shared" si="50"/>
        <v>10136.07398530172</v>
      </c>
      <c r="AF52" s="761">
        <f t="shared" si="50"/>
        <v>10338.795465007755</v>
      </c>
      <c r="AG52" s="761">
        <f t="shared" si="50"/>
        <v>10545.57137430791</v>
      </c>
      <c r="AH52" s="761">
        <f t="shared" si="50"/>
        <v>10756.482801794069</v>
      </c>
      <c r="AI52" s="761">
        <f t="shared" ref="AI52:AJ52" si="51">SUM(AI46:AI51)</f>
        <v>10971.612457829951</v>
      </c>
      <c r="AJ52" s="761">
        <f t="shared" si="51"/>
        <v>11191.044706986551</v>
      </c>
      <c r="AK52" s="633"/>
      <c r="AL52" s="633"/>
      <c r="AM52" s="633"/>
      <c r="AN52" s="633"/>
      <c r="AO52" s="633"/>
      <c r="AP52" s="633"/>
    </row>
    <row r="53" spans="1:42" x14ac:dyDescent="0.15">
      <c r="A53" s="683">
        <v>4134</v>
      </c>
      <c r="B53" s="493">
        <f t="shared" si="40"/>
        <v>0</v>
      </c>
      <c r="C53" s="679" t="s">
        <v>164</v>
      </c>
      <c r="D53" s="146"/>
      <c r="E53" s="344"/>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5"/>
      <c r="AK53" s="633"/>
      <c r="AL53" s="633"/>
      <c r="AM53" s="633"/>
      <c r="AN53" s="633"/>
      <c r="AO53" s="633"/>
      <c r="AP53" s="633"/>
    </row>
    <row r="54" spans="1:42" x14ac:dyDescent="0.15">
      <c r="A54" s="633"/>
      <c r="C54" s="633"/>
      <c r="D54" s="146">
        <f>D52+D43+D53</f>
        <v>417133.32</v>
      </c>
      <c r="E54" s="346">
        <f>F55*12</f>
        <v>454393.32</v>
      </c>
      <c r="F54" s="343">
        <f t="shared" ref="F54:K54" si="52">F55*12</f>
        <v>454393.32</v>
      </c>
      <c r="G54" s="343">
        <f t="shared" si="52"/>
        <v>575597.10000000009</v>
      </c>
      <c r="H54" s="343">
        <f t="shared" si="52"/>
        <v>713630.53560000006</v>
      </c>
      <c r="I54" s="343">
        <f t="shared" si="52"/>
        <v>858474.219912</v>
      </c>
      <c r="J54" s="343">
        <f t="shared" si="52"/>
        <v>1003420.75791024</v>
      </c>
      <c r="K54" s="343">
        <f t="shared" si="52"/>
        <v>1041952.5794684449</v>
      </c>
      <c r="L54" s="285"/>
      <c r="M54" s="285"/>
      <c r="N54" s="285"/>
      <c r="O54" s="285"/>
      <c r="P54" s="285"/>
      <c r="Q54" s="285"/>
      <c r="R54" s="285"/>
      <c r="S54" s="285"/>
      <c r="T54" s="285"/>
      <c r="U54" s="285"/>
      <c r="V54" s="285"/>
      <c r="W54" s="285"/>
      <c r="X54" s="285"/>
      <c r="Y54" s="285"/>
      <c r="Z54" s="285"/>
      <c r="AA54" s="285"/>
      <c r="AB54" s="285"/>
      <c r="AC54" s="285"/>
      <c r="AD54" s="285"/>
      <c r="AE54" s="285"/>
      <c r="AF54" s="285"/>
      <c r="AG54" s="285"/>
      <c r="AH54" s="285"/>
      <c r="AI54" s="285"/>
      <c r="AJ54" s="285"/>
      <c r="AK54" s="633"/>
      <c r="AL54" s="633"/>
      <c r="AM54" s="633"/>
      <c r="AN54" s="633"/>
      <c r="AO54" s="633"/>
      <c r="AP54" s="633"/>
    </row>
    <row r="55" spans="1:42" ht="14" thickBot="1" x14ac:dyDescent="0.2">
      <c r="A55" s="633"/>
      <c r="B55" s="762">
        <f t="shared" si="40"/>
        <v>454393.32</v>
      </c>
      <c r="C55" s="743" t="s">
        <v>165</v>
      </c>
      <c r="D55" s="763">
        <f>D54/12</f>
        <v>34761.11</v>
      </c>
      <c r="E55" s="757">
        <f>E54/12</f>
        <v>37866.11</v>
      </c>
      <c r="F55" s="758">
        <f t="shared" ref="F55:AH55" si="53">F43+SUM(F52:F53)</f>
        <v>37866.11</v>
      </c>
      <c r="G55" s="758">
        <f>G43+SUM(G52:G53)</f>
        <v>47966.425000000003</v>
      </c>
      <c r="H55" s="758">
        <f t="shared" si="53"/>
        <v>59469.211300000003</v>
      </c>
      <c r="I55" s="758">
        <f t="shared" si="53"/>
        <v>71539.518326000005</v>
      </c>
      <c r="J55" s="758">
        <f t="shared" si="53"/>
        <v>83618.396492519998</v>
      </c>
      <c r="K55" s="758">
        <f t="shared" si="53"/>
        <v>86829.381622370405</v>
      </c>
      <c r="L55" s="758">
        <f t="shared" si="53"/>
        <v>90166.131142817816</v>
      </c>
      <c r="M55" s="758">
        <f t="shared" si="53"/>
        <v>93633.622129194147</v>
      </c>
      <c r="N55" s="758">
        <f t="shared" si="53"/>
        <v>97237.029669838856</v>
      </c>
      <c r="O55" s="758">
        <f t="shared" si="53"/>
        <v>100981.73476521886</v>
      </c>
      <c r="P55" s="758">
        <f t="shared" si="53"/>
        <v>104873.33254258581</v>
      </c>
      <c r="Q55" s="758">
        <f t="shared" si="53"/>
        <v>108917.64079878258</v>
      </c>
      <c r="R55" s="758">
        <f t="shared" si="53"/>
        <v>113120.70888431714</v>
      </c>
      <c r="S55" s="758">
        <f t="shared" si="53"/>
        <v>117488.82694234469</v>
      </c>
      <c r="T55" s="758">
        <f t="shared" si="53"/>
        <v>122028.53551674644</v>
      </c>
      <c r="U55" s="758">
        <f t="shared" si="53"/>
        <v>126746.63554405843</v>
      </c>
      <c r="V55" s="758">
        <f t="shared" si="53"/>
        <v>131650.19874459575</v>
      </c>
      <c r="W55" s="758">
        <f t="shared" si="53"/>
        <v>136746.57842873005</v>
      </c>
      <c r="X55" s="758">
        <f t="shared" si="53"/>
        <v>142043.42073491678</v>
      </c>
      <c r="Y55" s="758">
        <f t="shared" si="53"/>
        <v>147548.6763167317</v>
      </c>
      <c r="Z55" s="758">
        <f t="shared" si="53"/>
        <v>153270.61249686754</v>
      </c>
      <c r="AA55" s="758">
        <f t="shared" si="53"/>
        <v>159217.82590675817</v>
      </c>
      <c r="AB55" s="758">
        <f t="shared" si="53"/>
        <v>165399.25563124477</v>
      </c>
      <c r="AC55" s="758">
        <f t="shared" si="53"/>
        <v>171824.19687847517</v>
      </c>
      <c r="AD55" s="758">
        <f t="shared" si="53"/>
        <v>178502.31519603432</v>
      </c>
      <c r="AE55" s="758">
        <f t="shared" si="53"/>
        <v>185443.66125514431</v>
      </c>
      <c r="AF55" s="758">
        <f t="shared" si="53"/>
        <v>192658.68622564405</v>
      </c>
      <c r="AG55" s="758">
        <f t="shared" si="53"/>
        <v>200158.25776536966</v>
      </c>
      <c r="AH55" s="758">
        <f t="shared" si="53"/>
        <v>207953.67664849828</v>
      </c>
      <c r="AI55" s="758">
        <f t="shared" ref="AI55:AJ55" si="54">AI43+SUM(AI52:AI53)</f>
        <v>216056.69405840241</v>
      </c>
      <c r="AJ55" s="758">
        <f t="shared" si="54"/>
        <v>224479.52957158186</v>
      </c>
      <c r="AK55" s="633"/>
      <c r="AL55" s="633"/>
      <c r="AM55" s="633"/>
      <c r="AN55" s="633"/>
      <c r="AO55" s="633"/>
      <c r="AP55" s="633"/>
    </row>
    <row r="56" spans="1:42" ht="14" thickTop="1" x14ac:dyDescent="0.15">
      <c r="A56" s="633"/>
      <c r="C56" s="14"/>
      <c r="D56" s="335" t="s">
        <v>166</v>
      </c>
      <c r="E56" s="694"/>
      <c r="F56" s="497" t="s">
        <v>167</v>
      </c>
      <c r="G56" s="497" t="s">
        <v>168</v>
      </c>
      <c r="H56" s="498" t="s">
        <v>169</v>
      </c>
      <c r="I56" s="498" t="s">
        <v>170</v>
      </c>
      <c r="J56" s="498" t="s">
        <v>171</v>
      </c>
      <c r="K56" s="498" t="s">
        <v>172</v>
      </c>
      <c r="L56" s="60"/>
      <c r="M56" s="499" t="s">
        <v>149</v>
      </c>
      <c r="N56" s="499" t="s">
        <v>150</v>
      </c>
      <c r="O56" s="500" t="s">
        <v>151</v>
      </c>
      <c r="P56" s="500" t="s">
        <v>152</v>
      </c>
      <c r="Q56" s="500" t="s">
        <v>153</v>
      </c>
      <c r="R56" s="500" t="s">
        <v>154</v>
      </c>
      <c r="S56" s="633"/>
      <c r="T56" s="633"/>
      <c r="U56" s="633"/>
      <c r="V56" s="633"/>
      <c r="W56" s="633"/>
      <c r="X56" s="633"/>
      <c r="Y56" s="633"/>
      <c r="Z56" s="633"/>
      <c r="AA56" s="633"/>
      <c r="AB56" s="633"/>
      <c r="AC56" s="633"/>
      <c r="AD56" s="633"/>
      <c r="AE56" s="633"/>
      <c r="AF56" s="633"/>
      <c r="AG56" s="633"/>
      <c r="AH56" s="633"/>
      <c r="AI56" s="633"/>
      <c r="AJ56" s="633"/>
      <c r="AK56" s="633"/>
      <c r="AL56" s="633"/>
      <c r="AM56" s="633"/>
      <c r="AN56" s="633"/>
      <c r="AO56" s="633"/>
      <c r="AP56" s="633"/>
    </row>
    <row r="57" spans="1:42" ht="16" x14ac:dyDescent="0.3">
      <c r="A57" s="633"/>
      <c r="B57" s="505" t="s">
        <v>173</v>
      </c>
      <c r="C57" s="11" t="s">
        <v>174</v>
      </c>
      <c r="D57" s="334" t="str">
        <f>N6</f>
        <v>Trailing 12</v>
      </c>
      <c r="E57" s="345" t="s">
        <v>156</v>
      </c>
      <c r="F57" s="501">
        <f ca="1">$F$65/NoOfSpaces</f>
        <v>0</v>
      </c>
      <c r="G57" s="501">
        <f>$F$64/NoOfSpaces</f>
        <v>4.7389028776978419</v>
      </c>
      <c r="H57" s="501">
        <f ca="1">($F$64+$F$65)/NoOfSpaces</f>
        <v>4.7389028776978419</v>
      </c>
      <c r="I57" s="501">
        <f>$F$63/NoOfSpaces</f>
        <v>4.0353597122302167</v>
      </c>
      <c r="J57" s="501">
        <f>$F$61/NoOfSpaces</f>
        <v>7.1684352517985612</v>
      </c>
      <c r="K57" s="501">
        <f>$F$62/NoOfSpaces</f>
        <v>0.89250000000000007</v>
      </c>
      <c r="L57" s="60"/>
      <c r="M57" s="501">
        <f ca="1">$F$65/OccPadsNum</f>
        <v>0</v>
      </c>
      <c r="N57" s="501">
        <f>$F$64/OccPadsNum</f>
        <v>9.9804166666666667</v>
      </c>
      <c r="O57" s="501">
        <f ca="1">($F$64+$F$65)/OccPadsNum</f>
        <v>9.9804166666666667</v>
      </c>
      <c r="P57" s="501">
        <f>$F$63/OccPadsNum</f>
        <v>8.4987121212121224</v>
      </c>
      <c r="Q57" s="501">
        <f>$F$61/OccPadsNum</f>
        <v>15.097159090909091</v>
      </c>
      <c r="R57" s="501">
        <f>$F$62/OccPadsNum</f>
        <v>1.8796590909090909</v>
      </c>
      <c r="S57" s="633"/>
      <c r="T57" s="633"/>
      <c r="U57" s="633"/>
      <c r="V57" s="633"/>
      <c r="W57" s="633"/>
      <c r="X57" s="633"/>
      <c r="Y57" s="633"/>
      <c r="Z57" s="633"/>
      <c r="AA57" s="633"/>
      <c r="AB57" s="633"/>
      <c r="AC57" s="633"/>
      <c r="AD57" s="633"/>
      <c r="AE57" s="633"/>
      <c r="AF57" s="633"/>
      <c r="AG57" s="633"/>
      <c r="AH57" s="633"/>
      <c r="AI57" s="633"/>
      <c r="AJ57" s="633"/>
      <c r="AK57" s="633"/>
      <c r="AL57" s="633"/>
      <c r="AM57" s="633"/>
      <c r="AN57" s="633"/>
      <c r="AO57" s="633"/>
      <c r="AP57" s="633"/>
    </row>
    <row r="58" spans="1:42" x14ac:dyDescent="0.15">
      <c r="A58" s="683">
        <v>5701</v>
      </c>
      <c r="B58" s="493">
        <f t="shared" ref="B58:B82" si="55">E58/NoOfSpaces</f>
        <v>251.79856115107913</v>
      </c>
      <c r="C58" s="636" t="str">
        <f>IF(OtherFTE&gt;0,"Salary Exp ("&amp;TEXT(Notes!K39,"0.00")&amp;" FTE Mgr, "&amp;TEXT(Notes!K45,"0.00")&amp;" FTE Maint, "&amp;TEXT(Notes!K51,"0.00")&amp;" FTE Other)","Salary Exp ("&amp;TEXT(Notes!K39,"0.00")&amp;" FTE Mgr, "&amp;TEXT(Notes!K45,"0.00")&amp;" FTE Maintenance)")</f>
        <v>Salary Exp (0.00 FTE Mgr, 0.00 FTE Maintenance)</v>
      </c>
      <c r="D58" s="147">
        <v>36852</v>
      </c>
      <c r="E58" s="285">
        <v>70000</v>
      </c>
      <c r="F58" s="347">
        <f t="shared" ref="F58:F67" si="56">E58/12</f>
        <v>5833.333333333333</v>
      </c>
      <c r="G58" s="285">
        <f t="shared" ref="G58:AH58" si="57">F58*(1+GlobalInflation)</f>
        <v>5950</v>
      </c>
      <c r="H58" s="285">
        <f t="shared" si="57"/>
        <v>6069</v>
      </c>
      <c r="I58" s="285">
        <f t="shared" si="57"/>
        <v>6190.38</v>
      </c>
      <c r="J58" s="285">
        <f t="shared" si="57"/>
        <v>6314.1876000000002</v>
      </c>
      <c r="K58" s="285">
        <f t="shared" si="57"/>
        <v>6440.4713520000005</v>
      </c>
      <c r="L58" s="285">
        <f t="shared" si="57"/>
        <v>6569.2807790400002</v>
      </c>
      <c r="M58" s="285">
        <f t="shared" si="57"/>
        <v>6700.6663946208</v>
      </c>
      <c r="N58" s="285">
        <f t="shared" si="57"/>
        <v>6834.6797225132159</v>
      </c>
      <c r="O58" s="285">
        <f t="shared" si="57"/>
        <v>6971.3733169634806</v>
      </c>
      <c r="P58" s="285">
        <f t="shared" si="57"/>
        <v>7110.8007833027505</v>
      </c>
      <c r="Q58" s="285">
        <f t="shared" si="57"/>
        <v>7253.0167989688052</v>
      </c>
      <c r="R58" s="285">
        <f t="shared" si="57"/>
        <v>7398.0771349481811</v>
      </c>
      <c r="S58" s="285">
        <f t="shared" si="57"/>
        <v>7546.0386776471451</v>
      </c>
      <c r="T58" s="285">
        <f t="shared" si="57"/>
        <v>7696.9594512000876</v>
      </c>
      <c r="U58" s="285">
        <f t="shared" si="57"/>
        <v>7850.8986402240898</v>
      </c>
      <c r="V58" s="285">
        <f t="shared" si="57"/>
        <v>8007.9166130285721</v>
      </c>
      <c r="W58" s="285">
        <f t="shared" si="57"/>
        <v>8168.0749452891441</v>
      </c>
      <c r="X58" s="285">
        <f t="shared" si="57"/>
        <v>8331.4364441949274</v>
      </c>
      <c r="Y58" s="285">
        <f t="shared" si="57"/>
        <v>8498.0651730788268</v>
      </c>
      <c r="Z58" s="285">
        <f t="shared" si="57"/>
        <v>8668.0264765404027</v>
      </c>
      <c r="AA58" s="285">
        <f t="shared" si="57"/>
        <v>8841.3870060712106</v>
      </c>
      <c r="AB58" s="285">
        <f t="shared" si="57"/>
        <v>9018.2147461926343</v>
      </c>
      <c r="AC58" s="285">
        <f t="shared" si="57"/>
        <v>9198.5790411164871</v>
      </c>
      <c r="AD58" s="285">
        <f t="shared" si="57"/>
        <v>9382.5506219388171</v>
      </c>
      <c r="AE58" s="285">
        <f t="shared" si="57"/>
        <v>9570.201634377594</v>
      </c>
      <c r="AF58" s="285">
        <f t="shared" si="57"/>
        <v>9761.6056670651469</v>
      </c>
      <c r="AG58" s="285">
        <f t="shared" si="57"/>
        <v>9956.8377804064494</v>
      </c>
      <c r="AH58" s="285">
        <f t="shared" si="57"/>
        <v>10155.974536014579</v>
      </c>
      <c r="AI58" s="285">
        <f t="shared" ref="AI58:AI80" si="58">AH58*(1+GlobalInflation)</f>
        <v>10359.094026734871</v>
      </c>
      <c r="AJ58" s="285">
        <f t="shared" ref="AJ58:AJ80" si="59">AI58*(1+GlobalInflation)</f>
        <v>10566.275907269568</v>
      </c>
      <c r="AK58" s="12"/>
      <c r="AL58" s="12"/>
      <c r="AM58" s="12"/>
      <c r="AN58" s="12"/>
      <c r="AO58" s="12"/>
      <c r="AP58" s="12"/>
    </row>
    <row r="59" spans="1:42" x14ac:dyDescent="0.15">
      <c r="A59" s="683">
        <v>5305</v>
      </c>
      <c r="B59" s="493">
        <f t="shared" si="55"/>
        <v>42.805755395683455</v>
      </c>
      <c r="C59" s="636" t="s">
        <v>175</v>
      </c>
      <c r="D59" s="147">
        <f ca="1">OFFSET('IE SUMMARY'!D33,0,MoveCount)</f>
        <v>0</v>
      </c>
      <c r="E59" s="285">
        <f>E58*0.17</f>
        <v>11900</v>
      </c>
      <c r="F59" s="347">
        <f t="shared" si="56"/>
        <v>991.66666666666663</v>
      </c>
      <c r="G59" s="285">
        <f t="shared" ref="G59:AH59" si="60">F59*(1+GlobalInflation)</f>
        <v>1011.5</v>
      </c>
      <c r="H59" s="285">
        <f t="shared" si="60"/>
        <v>1031.73</v>
      </c>
      <c r="I59" s="285">
        <f t="shared" si="60"/>
        <v>1052.3646000000001</v>
      </c>
      <c r="J59" s="285">
        <f t="shared" si="60"/>
        <v>1073.4118920000001</v>
      </c>
      <c r="K59" s="285">
        <f t="shared" si="60"/>
        <v>1094.8801298400001</v>
      </c>
      <c r="L59" s="285">
        <f t="shared" si="60"/>
        <v>1116.7777324368001</v>
      </c>
      <c r="M59" s="285">
        <f t="shared" si="60"/>
        <v>1139.1132870855361</v>
      </c>
      <c r="N59" s="285">
        <f t="shared" si="60"/>
        <v>1161.8955528272468</v>
      </c>
      <c r="O59" s="285">
        <f t="shared" si="60"/>
        <v>1185.1334638837918</v>
      </c>
      <c r="P59" s="285">
        <f t="shared" si="60"/>
        <v>1208.8361331614676</v>
      </c>
      <c r="Q59" s="285">
        <f t="shared" si="60"/>
        <v>1233.012855824697</v>
      </c>
      <c r="R59" s="285">
        <f t="shared" si="60"/>
        <v>1257.673112941191</v>
      </c>
      <c r="S59" s="285">
        <f t="shared" si="60"/>
        <v>1282.8265752000148</v>
      </c>
      <c r="T59" s="285">
        <f t="shared" si="60"/>
        <v>1308.483106704015</v>
      </c>
      <c r="U59" s="285">
        <f t="shared" si="60"/>
        <v>1334.6527688380952</v>
      </c>
      <c r="V59" s="285">
        <f t="shared" si="60"/>
        <v>1361.3458242148572</v>
      </c>
      <c r="W59" s="285">
        <f t="shared" si="60"/>
        <v>1388.5727406991543</v>
      </c>
      <c r="X59" s="285">
        <f t="shared" si="60"/>
        <v>1416.3441955131375</v>
      </c>
      <c r="Y59" s="285">
        <f t="shared" si="60"/>
        <v>1444.6710794234002</v>
      </c>
      <c r="Z59" s="285">
        <f t="shared" si="60"/>
        <v>1473.5645010118683</v>
      </c>
      <c r="AA59" s="285">
        <f t="shared" si="60"/>
        <v>1503.0357910321056</v>
      </c>
      <c r="AB59" s="285">
        <f t="shared" si="60"/>
        <v>1533.0965068527478</v>
      </c>
      <c r="AC59" s="285">
        <f t="shared" si="60"/>
        <v>1563.7584369898027</v>
      </c>
      <c r="AD59" s="285">
        <f t="shared" si="60"/>
        <v>1595.0336057295988</v>
      </c>
      <c r="AE59" s="285">
        <f t="shared" si="60"/>
        <v>1626.9342778441908</v>
      </c>
      <c r="AF59" s="285">
        <f t="shared" si="60"/>
        <v>1659.4729634010746</v>
      </c>
      <c r="AG59" s="285">
        <f t="shared" si="60"/>
        <v>1692.662422669096</v>
      </c>
      <c r="AH59" s="285">
        <f t="shared" si="60"/>
        <v>1726.5156711224779</v>
      </c>
      <c r="AI59" s="285">
        <f t="shared" si="58"/>
        <v>1761.0459845449275</v>
      </c>
      <c r="AJ59" s="285">
        <f t="shared" si="59"/>
        <v>1796.2669042358261</v>
      </c>
      <c r="AK59" s="12"/>
      <c r="AL59" s="12"/>
      <c r="AM59" s="12"/>
      <c r="AN59" s="12"/>
      <c r="AO59" s="12"/>
      <c r="AP59" s="12"/>
    </row>
    <row r="60" spans="1:42" x14ac:dyDescent="0.15">
      <c r="A60" s="683">
        <v>5306</v>
      </c>
      <c r="B60" s="493">
        <f t="shared" si="55"/>
        <v>15.107913669064748</v>
      </c>
      <c r="C60" s="636" t="s">
        <v>176</v>
      </c>
      <c r="D60" s="147">
        <f ca="1">OFFSET('IE SUMMARY'!D34,0,MoveCount)</f>
        <v>0</v>
      </c>
      <c r="E60" s="285">
        <f>+E58*0.06</f>
        <v>4200</v>
      </c>
      <c r="F60" s="347">
        <f t="shared" si="56"/>
        <v>350</v>
      </c>
      <c r="G60" s="285">
        <f t="shared" ref="G60:AH60" si="61">F60*(1+GlobalInflation)</f>
        <v>357</v>
      </c>
      <c r="H60" s="285">
        <f t="shared" si="61"/>
        <v>364.14</v>
      </c>
      <c r="I60" s="285">
        <f t="shared" si="61"/>
        <v>371.4228</v>
      </c>
      <c r="J60" s="285">
        <f t="shared" si="61"/>
        <v>378.85125599999998</v>
      </c>
      <c r="K60" s="285">
        <f t="shared" si="61"/>
        <v>386.42828112000001</v>
      </c>
      <c r="L60" s="285">
        <f t="shared" si="61"/>
        <v>394.15684674240003</v>
      </c>
      <c r="M60" s="285">
        <f t="shared" si="61"/>
        <v>402.03998367724802</v>
      </c>
      <c r="N60" s="285">
        <f t="shared" si="61"/>
        <v>410.08078335079301</v>
      </c>
      <c r="O60" s="285">
        <f t="shared" si="61"/>
        <v>418.28239901780887</v>
      </c>
      <c r="P60" s="285">
        <f t="shared" si="61"/>
        <v>426.64804699816506</v>
      </c>
      <c r="Q60" s="285">
        <f t="shared" si="61"/>
        <v>435.18100793812835</v>
      </c>
      <c r="R60" s="285">
        <f t="shared" si="61"/>
        <v>443.88462809689094</v>
      </c>
      <c r="S60" s="285">
        <f t="shared" si="61"/>
        <v>452.76232065882874</v>
      </c>
      <c r="T60" s="285">
        <f t="shared" si="61"/>
        <v>461.81756707200532</v>
      </c>
      <c r="U60" s="285">
        <f t="shared" si="61"/>
        <v>471.05391841344544</v>
      </c>
      <c r="V60" s="285">
        <f t="shared" si="61"/>
        <v>480.47499678171437</v>
      </c>
      <c r="W60" s="285">
        <f t="shared" si="61"/>
        <v>490.08449671734866</v>
      </c>
      <c r="X60" s="285">
        <f t="shared" si="61"/>
        <v>499.88618665169565</v>
      </c>
      <c r="Y60" s="285">
        <f t="shared" si="61"/>
        <v>509.88391038472957</v>
      </c>
      <c r="Z60" s="285">
        <f t="shared" si="61"/>
        <v>520.08158859242417</v>
      </c>
      <c r="AA60" s="285">
        <f t="shared" si="61"/>
        <v>530.48322036427271</v>
      </c>
      <c r="AB60" s="285">
        <f t="shared" si="61"/>
        <v>541.09288477155815</v>
      </c>
      <c r="AC60" s="285">
        <f t="shared" si="61"/>
        <v>551.91474246698931</v>
      </c>
      <c r="AD60" s="285">
        <f t="shared" si="61"/>
        <v>562.95303731632907</v>
      </c>
      <c r="AE60" s="285">
        <f t="shared" si="61"/>
        <v>574.21209806265563</v>
      </c>
      <c r="AF60" s="285">
        <f t="shared" si="61"/>
        <v>585.69634002390876</v>
      </c>
      <c r="AG60" s="285">
        <f t="shared" si="61"/>
        <v>597.41026682438689</v>
      </c>
      <c r="AH60" s="285">
        <f t="shared" si="61"/>
        <v>609.35847216087461</v>
      </c>
      <c r="AI60" s="285">
        <f t="shared" si="58"/>
        <v>621.54564160409211</v>
      </c>
      <c r="AJ60" s="285">
        <f t="shared" si="59"/>
        <v>633.97655443617396</v>
      </c>
      <c r="AK60" s="12"/>
      <c r="AL60" s="12"/>
      <c r="AM60" s="12"/>
      <c r="AN60" s="12"/>
      <c r="AO60" s="12"/>
      <c r="AP60" s="12"/>
    </row>
    <row r="61" spans="1:42" x14ac:dyDescent="0.15">
      <c r="A61" s="683">
        <v>5404</v>
      </c>
      <c r="B61" s="493">
        <f t="shared" si="55"/>
        <v>86.021223021582742</v>
      </c>
      <c r="C61" s="636" t="s">
        <v>157</v>
      </c>
      <c r="D61" s="147">
        <v>23445</v>
      </c>
      <c r="E61" s="285">
        <f>D61*(1+GlobalInflation)</f>
        <v>23913.9</v>
      </c>
      <c r="F61" s="347">
        <f t="shared" si="56"/>
        <v>1992.825</v>
      </c>
      <c r="G61" s="285">
        <f t="shared" ref="G61:AH61" si="62">F61*(1+GlobalInflation)</f>
        <v>2032.6815000000001</v>
      </c>
      <c r="H61" s="285">
        <f t="shared" si="62"/>
        <v>2073.3351300000004</v>
      </c>
      <c r="I61" s="285">
        <f t="shared" si="62"/>
        <v>2114.8018326000006</v>
      </c>
      <c r="J61" s="285">
        <f t="shared" si="62"/>
        <v>2157.0978692520007</v>
      </c>
      <c r="K61" s="285">
        <f t="shared" si="62"/>
        <v>2200.2398266370406</v>
      </c>
      <c r="L61" s="285">
        <f t="shared" si="62"/>
        <v>2244.2446231697813</v>
      </c>
      <c r="M61" s="285">
        <f t="shared" si="62"/>
        <v>2289.1295156331771</v>
      </c>
      <c r="N61" s="285">
        <f t="shared" si="62"/>
        <v>2334.9121059458407</v>
      </c>
      <c r="O61" s="285">
        <f t="shared" si="62"/>
        <v>2381.6103480647575</v>
      </c>
      <c r="P61" s="285">
        <f t="shared" si="62"/>
        <v>2429.2425550260527</v>
      </c>
      <c r="Q61" s="285">
        <f t="shared" si="62"/>
        <v>2477.8274061265738</v>
      </c>
      <c r="R61" s="285">
        <f t="shared" si="62"/>
        <v>2527.3839542491055</v>
      </c>
      <c r="S61" s="285">
        <f t="shared" si="62"/>
        <v>2577.9316333340876</v>
      </c>
      <c r="T61" s="285">
        <f t="shared" si="62"/>
        <v>2629.4902660007692</v>
      </c>
      <c r="U61" s="285">
        <f t="shared" si="62"/>
        <v>2682.0800713207846</v>
      </c>
      <c r="V61" s="285">
        <f t="shared" si="62"/>
        <v>2735.7216727472005</v>
      </c>
      <c r="W61" s="285">
        <f t="shared" si="62"/>
        <v>2790.4361062021444</v>
      </c>
      <c r="X61" s="285">
        <f t="shared" si="62"/>
        <v>2846.2448283261874</v>
      </c>
      <c r="Y61" s="285">
        <f t="shared" si="62"/>
        <v>2903.1697248927112</v>
      </c>
      <c r="Z61" s="285">
        <f t="shared" si="62"/>
        <v>2961.2331193905657</v>
      </c>
      <c r="AA61" s="285">
        <f t="shared" si="62"/>
        <v>3020.457781778377</v>
      </c>
      <c r="AB61" s="285">
        <f t="shared" si="62"/>
        <v>3080.8669374139445</v>
      </c>
      <c r="AC61" s="285">
        <f t="shared" si="62"/>
        <v>3142.4842761622235</v>
      </c>
      <c r="AD61" s="285">
        <f t="shared" si="62"/>
        <v>3205.3339616854682</v>
      </c>
      <c r="AE61" s="285">
        <f t="shared" si="62"/>
        <v>3269.4406409191774</v>
      </c>
      <c r="AF61" s="285">
        <f t="shared" si="62"/>
        <v>3334.8294537375609</v>
      </c>
      <c r="AG61" s="285">
        <f t="shared" si="62"/>
        <v>3401.5260428123124</v>
      </c>
      <c r="AH61" s="285">
        <f t="shared" si="62"/>
        <v>3469.5565636685587</v>
      </c>
      <c r="AI61" s="285">
        <f t="shared" si="58"/>
        <v>3538.94769494193</v>
      </c>
      <c r="AJ61" s="285">
        <f t="shared" si="59"/>
        <v>3609.7266488407686</v>
      </c>
      <c r="AK61" s="12"/>
      <c r="AL61" s="12"/>
      <c r="AM61" s="12"/>
      <c r="AN61" s="12"/>
      <c r="AO61" s="12"/>
      <c r="AP61" s="12"/>
    </row>
    <row r="62" spans="1:42" x14ac:dyDescent="0.15">
      <c r="A62" s="683">
        <v>5401</v>
      </c>
      <c r="B62" s="493">
        <f t="shared" si="55"/>
        <v>10.71</v>
      </c>
      <c r="C62" s="636" t="s">
        <v>177</v>
      </c>
      <c r="D62" s="147">
        <v>2919</v>
      </c>
      <c r="E62" s="285">
        <f>D62*(1+GlobalInflation)</f>
        <v>2977.38</v>
      </c>
      <c r="F62" s="347">
        <f t="shared" si="56"/>
        <v>248.11500000000001</v>
      </c>
      <c r="G62" s="285">
        <f t="shared" ref="G62:AH62" si="63">F62*(1+GlobalInflation)</f>
        <v>253.07730000000001</v>
      </c>
      <c r="H62" s="285">
        <f t="shared" si="63"/>
        <v>258.138846</v>
      </c>
      <c r="I62" s="285">
        <f t="shared" si="63"/>
        <v>263.30162292</v>
      </c>
      <c r="J62" s="285">
        <f t="shared" si="63"/>
        <v>268.56765537839999</v>
      </c>
      <c r="K62" s="285">
        <f t="shared" si="63"/>
        <v>273.93900848596797</v>
      </c>
      <c r="L62" s="285">
        <f t="shared" si="63"/>
        <v>279.41778865568733</v>
      </c>
      <c r="M62" s="285">
        <f t="shared" si="63"/>
        <v>285.00614442880106</v>
      </c>
      <c r="N62" s="285">
        <f t="shared" si="63"/>
        <v>290.70626731737707</v>
      </c>
      <c r="O62" s="285">
        <f t="shared" si="63"/>
        <v>296.52039266372464</v>
      </c>
      <c r="P62" s="285">
        <f t="shared" si="63"/>
        <v>302.45080051699915</v>
      </c>
      <c r="Q62" s="285">
        <f t="shared" si="63"/>
        <v>308.49981652733914</v>
      </c>
      <c r="R62" s="285">
        <f t="shared" si="63"/>
        <v>314.66981285788592</v>
      </c>
      <c r="S62" s="285">
        <f t="shared" si="63"/>
        <v>320.96320911504364</v>
      </c>
      <c r="T62" s="285">
        <f t="shared" si="63"/>
        <v>327.38247329734452</v>
      </c>
      <c r="U62" s="285">
        <f t="shared" si="63"/>
        <v>333.93012276329142</v>
      </c>
      <c r="V62" s="285">
        <f t="shared" si="63"/>
        <v>340.60872521855725</v>
      </c>
      <c r="W62" s="285">
        <f t="shared" si="63"/>
        <v>347.42089972292843</v>
      </c>
      <c r="X62" s="285">
        <f t="shared" si="63"/>
        <v>354.36931771738699</v>
      </c>
      <c r="Y62" s="285">
        <f t="shared" si="63"/>
        <v>361.45670407173475</v>
      </c>
      <c r="Z62" s="285">
        <f t="shared" si="63"/>
        <v>368.68583815316947</v>
      </c>
      <c r="AA62" s="285">
        <f t="shared" si="63"/>
        <v>376.05955491623286</v>
      </c>
      <c r="AB62" s="285">
        <f t="shared" si="63"/>
        <v>383.58074601455752</v>
      </c>
      <c r="AC62" s="285">
        <f t="shared" si="63"/>
        <v>391.2523609348487</v>
      </c>
      <c r="AD62" s="285">
        <f t="shared" si="63"/>
        <v>399.07740815354566</v>
      </c>
      <c r="AE62" s="285">
        <f t="shared" si="63"/>
        <v>407.05895631661656</v>
      </c>
      <c r="AF62" s="285">
        <f t="shared" si="63"/>
        <v>415.20013544294892</v>
      </c>
      <c r="AG62" s="285">
        <f t="shared" si="63"/>
        <v>423.50413815180792</v>
      </c>
      <c r="AH62" s="285">
        <f t="shared" si="63"/>
        <v>431.97422091484407</v>
      </c>
      <c r="AI62" s="285">
        <f t="shared" si="58"/>
        <v>440.61370533314096</v>
      </c>
      <c r="AJ62" s="285">
        <f t="shared" si="59"/>
        <v>449.42597943980377</v>
      </c>
      <c r="AK62" s="12"/>
      <c r="AL62" s="12"/>
      <c r="AM62" s="12"/>
      <c r="AN62" s="12"/>
      <c r="AO62" s="12"/>
      <c r="AP62" s="12"/>
    </row>
    <row r="63" spans="1:42" x14ac:dyDescent="0.15">
      <c r="A63" s="683">
        <v>5405</v>
      </c>
      <c r="B63" s="493">
        <f t="shared" si="55"/>
        <v>48.42431654676259</v>
      </c>
      <c r="C63" s="636" t="s">
        <v>159</v>
      </c>
      <c r="D63" s="147">
        <v>13198</v>
      </c>
      <c r="E63" s="285">
        <f>D63*(1+GlobalInflation)</f>
        <v>13461.960000000001</v>
      </c>
      <c r="F63" s="347">
        <f t="shared" si="56"/>
        <v>1121.8300000000002</v>
      </c>
      <c r="G63" s="285">
        <f t="shared" ref="G63:AH63" si="64">F63*(1+GlobalInflation)</f>
        <v>1144.2666000000002</v>
      </c>
      <c r="H63" s="285">
        <f t="shared" si="64"/>
        <v>1167.1519320000002</v>
      </c>
      <c r="I63" s="285">
        <f t="shared" si="64"/>
        <v>1190.4949706400002</v>
      </c>
      <c r="J63" s="285">
        <f t="shared" si="64"/>
        <v>1214.3048700528002</v>
      </c>
      <c r="K63" s="285">
        <f t="shared" si="64"/>
        <v>1238.5909674538561</v>
      </c>
      <c r="L63" s="285">
        <f t="shared" si="64"/>
        <v>1263.3627868029332</v>
      </c>
      <c r="M63" s="285">
        <f t="shared" si="64"/>
        <v>1288.6300425389918</v>
      </c>
      <c r="N63" s="285">
        <f t="shared" si="64"/>
        <v>1314.4026433897716</v>
      </c>
      <c r="O63" s="285">
        <f t="shared" si="64"/>
        <v>1340.690696257567</v>
      </c>
      <c r="P63" s="285">
        <f t="shared" si="64"/>
        <v>1367.5045101827184</v>
      </c>
      <c r="Q63" s="285">
        <f t="shared" si="64"/>
        <v>1394.8546003863728</v>
      </c>
      <c r="R63" s="285">
        <f t="shared" si="64"/>
        <v>1422.7516923941002</v>
      </c>
      <c r="S63" s="285">
        <f t="shared" si="64"/>
        <v>1451.2067262419823</v>
      </c>
      <c r="T63" s="285">
        <f t="shared" si="64"/>
        <v>1480.2308607668219</v>
      </c>
      <c r="U63" s="285">
        <f t="shared" si="64"/>
        <v>1509.8354779821584</v>
      </c>
      <c r="V63" s="285">
        <f t="shared" si="64"/>
        <v>1540.0321875418017</v>
      </c>
      <c r="W63" s="285">
        <f t="shared" si="64"/>
        <v>1570.8328312926378</v>
      </c>
      <c r="X63" s="285">
        <f t="shared" si="64"/>
        <v>1602.2494879184906</v>
      </c>
      <c r="Y63" s="285">
        <f t="shared" si="64"/>
        <v>1634.2944776768604</v>
      </c>
      <c r="Z63" s="285">
        <f t="shared" si="64"/>
        <v>1666.9803672303976</v>
      </c>
      <c r="AA63" s="285">
        <f t="shared" si="64"/>
        <v>1700.3199745750055</v>
      </c>
      <c r="AB63" s="285">
        <f t="shared" si="64"/>
        <v>1734.3263740665057</v>
      </c>
      <c r="AC63" s="285">
        <f t="shared" si="64"/>
        <v>1769.0129015478358</v>
      </c>
      <c r="AD63" s="285">
        <f t="shared" si="64"/>
        <v>1804.3931595787926</v>
      </c>
      <c r="AE63" s="285">
        <f t="shared" si="64"/>
        <v>1840.4810227703686</v>
      </c>
      <c r="AF63" s="285">
        <f t="shared" si="64"/>
        <v>1877.290643225776</v>
      </c>
      <c r="AG63" s="285">
        <f t="shared" si="64"/>
        <v>1914.8364560902914</v>
      </c>
      <c r="AH63" s="285">
        <f t="shared" si="64"/>
        <v>1953.1331852120973</v>
      </c>
      <c r="AI63" s="285">
        <f t="shared" si="58"/>
        <v>1992.1958489163392</v>
      </c>
      <c r="AJ63" s="285">
        <f t="shared" si="59"/>
        <v>2032.0397658946661</v>
      </c>
      <c r="AK63" s="12"/>
      <c r="AL63" s="12"/>
      <c r="AM63" s="12"/>
      <c r="AN63" s="12"/>
      <c r="AO63" s="12"/>
      <c r="AP63" s="12"/>
    </row>
    <row r="64" spans="1:42" x14ac:dyDescent="0.15">
      <c r="A64" s="683">
        <v>5403</v>
      </c>
      <c r="B64" s="493">
        <f t="shared" si="55"/>
        <v>56.866834532374099</v>
      </c>
      <c r="C64" s="636" t="s">
        <v>178</v>
      </c>
      <c r="D64" s="147">
        <v>15499</v>
      </c>
      <c r="E64" s="285">
        <f>D64*(1+GlobalInflation)</f>
        <v>15808.98</v>
      </c>
      <c r="F64" s="347">
        <f t="shared" ref="F64" si="65">E64/12</f>
        <v>1317.415</v>
      </c>
      <c r="G64" s="285">
        <f t="shared" ref="G64" si="66">F64*(1+GlobalInflation)</f>
        <v>1343.7633000000001</v>
      </c>
      <c r="H64" s="285">
        <f t="shared" ref="H64" si="67">G64*(1+GlobalInflation)</f>
        <v>1370.6385660000001</v>
      </c>
      <c r="I64" s="285">
        <f t="shared" ref="I64" si="68">H64*(1+GlobalInflation)</f>
        <v>1398.0513373200001</v>
      </c>
      <c r="J64" s="285">
        <f t="shared" ref="J64" si="69">I64*(1+GlobalInflation)</f>
        <v>1426.0123640664001</v>
      </c>
      <c r="K64" s="285">
        <f t="shared" ref="K64" si="70">J64*(1+GlobalInflation)</f>
        <v>1454.5326113477281</v>
      </c>
      <c r="L64" s="285">
        <f t="shared" ref="L64" si="71">K64*(1+GlobalInflation)</f>
        <v>1483.6232635746826</v>
      </c>
      <c r="M64" s="285">
        <f t="shared" ref="M64" si="72">L64*(1+GlobalInflation)</f>
        <v>1513.2957288461762</v>
      </c>
      <c r="N64" s="285">
        <f t="shared" ref="N64" si="73">M64*(1+GlobalInflation)</f>
        <v>1543.5616434230997</v>
      </c>
      <c r="O64" s="285">
        <f t="shared" ref="O64" si="74">N64*(1+GlobalInflation)</f>
        <v>1574.4328762915618</v>
      </c>
      <c r="P64" s="285">
        <f t="shared" ref="P64" si="75">O64*(1+GlobalInflation)</f>
        <v>1605.9215338173931</v>
      </c>
      <c r="Q64" s="285">
        <f t="shared" ref="Q64" si="76">P64*(1+GlobalInflation)</f>
        <v>1638.0399644937411</v>
      </c>
      <c r="R64" s="285">
        <f t="shared" ref="R64" si="77">Q64*(1+GlobalInflation)</f>
        <v>1670.8007637836158</v>
      </c>
      <c r="S64" s="285">
        <f t="shared" ref="S64" si="78">R64*(1+GlobalInflation)</f>
        <v>1704.2167790592882</v>
      </c>
      <c r="T64" s="285">
        <f t="shared" ref="T64" si="79">S64*(1+GlobalInflation)</f>
        <v>1738.301114640474</v>
      </c>
      <c r="U64" s="285">
        <f t="shared" ref="U64" si="80">T64*(1+GlobalInflation)</f>
        <v>1773.0671369332836</v>
      </c>
      <c r="V64" s="285">
        <f t="shared" ref="V64" si="81">U64*(1+GlobalInflation)</f>
        <v>1808.5284796719493</v>
      </c>
      <c r="W64" s="285">
        <f t="shared" ref="W64" si="82">V64*(1+GlobalInflation)</f>
        <v>1844.6990492653883</v>
      </c>
      <c r="X64" s="285">
        <f t="shared" ref="X64" si="83">W64*(1+GlobalInflation)</f>
        <v>1881.5930302506961</v>
      </c>
      <c r="Y64" s="285">
        <f t="shared" ref="Y64" si="84">X64*(1+GlobalInflation)</f>
        <v>1919.2248908557101</v>
      </c>
      <c r="Z64" s="285">
        <f t="shared" ref="Z64" si="85">Y64*(1+GlobalInflation)</f>
        <v>1957.6093886728243</v>
      </c>
      <c r="AA64" s="285">
        <f t="shared" ref="AA64" si="86">Z64*(1+GlobalInflation)</f>
        <v>1996.7615764462807</v>
      </c>
      <c r="AB64" s="285">
        <f t="shared" ref="AB64" si="87">AA64*(1+GlobalInflation)</f>
        <v>2036.6968079752064</v>
      </c>
      <c r="AC64" s="285">
        <f t="shared" ref="AC64" si="88">AB64*(1+GlobalInflation)</f>
        <v>2077.4307441347105</v>
      </c>
      <c r="AD64" s="285">
        <f t="shared" ref="AD64" si="89">AC64*(1+GlobalInflation)</f>
        <v>2118.9793590174049</v>
      </c>
      <c r="AE64" s="285">
        <f t="shared" ref="AE64" si="90">AD64*(1+GlobalInflation)</f>
        <v>2161.3589461977531</v>
      </c>
      <c r="AF64" s="285">
        <f t="shared" ref="AF64" si="91">AE64*(1+GlobalInflation)</f>
        <v>2204.5861251217084</v>
      </c>
      <c r="AG64" s="285">
        <f t="shared" ref="AG64" si="92">AF64*(1+GlobalInflation)</f>
        <v>2248.6778476241425</v>
      </c>
      <c r="AH64" s="285">
        <f t="shared" ref="AH64" si="93">AG64*(1+GlobalInflation)</f>
        <v>2293.6514045766253</v>
      </c>
      <c r="AI64" s="285">
        <f t="shared" si="58"/>
        <v>2339.5244326681577</v>
      </c>
      <c r="AJ64" s="285">
        <f t="shared" si="59"/>
        <v>2386.3149213215211</v>
      </c>
      <c r="AK64" s="12"/>
      <c r="AL64" s="12"/>
      <c r="AM64" s="12"/>
      <c r="AN64" s="12"/>
      <c r="AO64" s="12"/>
      <c r="AP64" s="12"/>
    </row>
    <row r="65" spans="1:42" x14ac:dyDescent="0.15">
      <c r="A65" s="683">
        <v>5402</v>
      </c>
      <c r="B65" s="493">
        <f t="shared" ca="1" si="55"/>
        <v>0</v>
      </c>
      <c r="C65" s="636" t="s">
        <v>179</v>
      </c>
      <c r="D65" s="147">
        <f ca="1">OFFSET('IE SUMMARY'!D39,0,MoveCount)</f>
        <v>0</v>
      </c>
      <c r="E65" s="285">
        <f ca="1">D65*(1+GlobalInflation)</f>
        <v>0</v>
      </c>
      <c r="F65" s="347">
        <f t="shared" ca="1" si="56"/>
        <v>0</v>
      </c>
      <c r="G65" s="285">
        <f t="shared" ref="G65:AH66" ca="1" si="94">F65*(1+GlobalInflation)</f>
        <v>0</v>
      </c>
      <c r="H65" s="285">
        <f t="shared" ca="1" si="94"/>
        <v>0</v>
      </c>
      <c r="I65" s="285">
        <f t="shared" ca="1" si="94"/>
        <v>0</v>
      </c>
      <c r="J65" s="285">
        <f t="shared" ca="1" si="94"/>
        <v>0</v>
      </c>
      <c r="K65" s="285">
        <f t="shared" ca="1" si="94"/>
        <v>0</v>
      </c>
      <c r="L65" s="285">
        <f t="shared" ca="1" si="94"/>
        <v>0</v>
      </c>
      <c r="M65" s="285">
        <f t="shared" ca="1" si="94"/>
        <v>0</v>
      </c>
      <c r="N65" s="285">
        <f t="shared" ca="1" si="94"/>
        <v>0</v>
      </c>
      <c r="O65" s="285">
        <f t="shared" ca="1" si="94"/>
        <v>0</v>
      </c>
      <c r="P65" s="285">
        <f t="shared" ca="1" si="94"/>
        <v>0</v>
      </c>
      <c r="Q65" s="285">
        <f t="shared" ca="1" si="94"/>
        <v>0</v>
      </c>
      <c r="R65" s="285">
        <f t="shared" ca="1" si="94"/>
        <v>0</v>
      </c>
      <c r="S65" s="285">
        <f t="shared" ca="1" si="94"/>
        <v>0</v>
      </c>
      <c r="T65" s="285">
        <f t="shared" ca="1" si="94"/>
        <v>0</v>
      </c>
      <c r="U65" s="285">
        <f t="shared" ca="1" si="94"/>
        <v>0</v>
      </c>
      <c r="V65" s="285">
        <f t="shared" ca="1" si="94"/>
        <v>0</v>
      </c>
      <c r="W65" s="285">
        <f t="shared" ca="1" si="94"/>
        <v>0</v>
      </c>
      <c r="X65" s="285">
        <f t="shared" ca="1" si="94"/>
        <v>0</v>
      </c>
      <c r="Y65" s="285">
        <f t="shared" ca="1" si="94"/>
        <v>0</v>
      </c>
      <c r="Z65" s="285">
        <f t="shared" ca="1" si="94"/>
        <v>0</v>
      </c>
      <c r="AA65" s="285">
        <f t="shared" ca="1" si="94"/>
        <v>0</v>
      </c>
      <c r="AB65" s="285">
        <f t="shared" ca="1" si="94"/>
        <v>0</v>
      </c>
      <c r="AC65" s="285">
        <f t="shared" ca="1" si="94"/>
        <v>0</v>
      </c>
      <c r="AD65" s="285">
        <f t="shared" ca="1" si="94"/>
        <v>0</v>
      </c>
      <c r="AE65" s="285">
        <f t="shared" ca="1" si="94"/>
        <v>0</v>
      </c>
      <c r="AF65" s="285">
        <f t="shared" ca="1" si="94"/>
        <v>0</v>
      </c>
      <c r="AG65" s="285">
        <f t="shared" ca="1" si="94"/>
        <v>0</v>
      </c>
      <c r="AH65" s="285">
        <f t="shared" ca="1" si="94"/>
        <v>0</v>
      </c>
      <c r="AI65" s="285">
        <f t="shared" ca="1" si="58"/>
        <v>0</v>
      </c>
      <c r="AJ65" s="285">
        <f t="shared" ca="1" si="59"/>
        <v>0</v>
      </c>
      <c r="AK65" s="12"/>
      <c r="AL65" s="12"/>
      <c r="AM65" s="12"/>
      <c r="AN65" s="12"/>
      <c r="AO65" s="12"/>
      <c r="AP65" s="12"/>
    </row>
    <row r="66" spans="1:42" x14ac:dyDescent="0.15">
      <c r="A66" s="683">
        <v>5603</v>
      </c>
      <c r="B66" s="493">
        <f t="shared" si="55"/>
        <v>3.8848920863309351</v>
      </c>
      <c r="C66" s="636" t="s">
        <v>180</v>
      </c>
      <c r="D66" s="147">
        <v>1148</v>
      </c>
      <c r="E66" s="285">
        <f>90*12</f>
        <v>1080</v>
      </c>
      <c r="F66" s="347">
        <f t="shared" si="56"/>
        <v>90</v>
      </c>
      <c r="G66" s="285">
        <f>F66*(1+GlobalInflation)</f>
        <v>91.8</v>
      </c>
      <c r="H66" s="285">
        <f t="shared" si="94"/>
        <v>93.635999999999996</v>
      </c>
      <c r="I66" s="285">
        <f t="shared" si="94"/>
        <v>95.508719999999997</v>
      </c>
      <c r="J66" s="285">
        <f t="shared" si="94"/>
        <v>97.418894399999999</v>
      </c>
      <c r="K66" s="285">
        <f t="shared" si="94"/>
        <v>99.367272287999995</v>
      </c>
      <c r="L66" s="285">
        <f t="shared" si="94"/>
        <v>101.35461773375999</v>
      </c>
      <c r="M66" s="285">
        <f t="shared" si="94"/>
        <v>103.3817100884352</v>
      </c>
      <c r="N66" s="285">
        <f t="shared" si="94"/>
        <v>105.44934429020391</v>
      </c>
      <c r="O66" s="285">
        <f t="shared" si="94"/>
        <v>107.558331176008</v>
      </c>
      <c r="P66" s="285">
        <f t="shared" si="94"/>
        <v>109.70949779952817</v>
      </c>
      <c r="Q66" s="285">
        <f t="shared" si="94"/>
        <v>111.90368775551873</v>
      </c>
      <c r="R66" s="285">
        <f t="shared" si="94"/>
        <v>114.14176151062911</v>
      </c>
      <c r="S66" s="285">
        <f t="shared" si="94"/>
        <v>116.42459674084169</v>
      </c>
      <c r="T66" s="285">
        <f t="shared" si="94"/>
        <v>118.75308867565853</v>
      </c>
      <c r="U66" s="285">
        <f t="shared" si="94"/>
        <v>121.1281504491717</v>
      </c>
      <c r="V66" s="285">
        <f t="shared" si="94"/>
        <v>123.55071345815513</v>
      </c>
      <c r="W66" s="285">
        <f t="shared" si="94"/>
        <v>126.02172772731824</v>
      </c>
      <c r="X66" s="285">
        <f t="shared" si="94"/>
        <v>128.54216228186459</v>
      </c>
      <c r="Y66" s="285">
        <f t="shared" si="94"/>
        <v>131.11300552750188</v>
      </c>
      <c r="Z66" s="285">
        <f t="shared" si="94"/>
        <v>133.73526563805191</v>
      </c>
      <c r="AA66" s="285">
        <f t="shared" si="94"/>
        <v>136.40997095081295</v>
      </c>
      <c r="AB66" s="285">
        <f t="shared" si="94"/>
        <v>139.1381703698292</v>
      </c>
      <c r="AC66" s="285">
        <f t="shared" si="94"/>
        <v>141.92093377722577</v>
      </c>
      <c r="AD66" s="285">
        <f t="shared" si="94"/>
        <v>144.75935245277029</v>
      </c>
      <c r="AE66" s="285">
        <f t="shared" si="94"/>
        <v>147.6545395018257</v>
      </c>
      <c r="AF66" s="285">
        <f t="shared" si="94"/>
        <v>150.60763029186222</v>
      </c>
      <c r="AG66" s="285">
        <f t="shared" si="94"/>
        <v>153.61978289769948</v>
      </c>
      <c r="AH66" s="285">
        <f t="shared" si="94"/>
        <v>156.69217855565347</v>
      </c>
      <c r="AI66" s="285">
        <f t="shared" si="58"/>
        <v>159.82602212676653</v>
      </c>
      <c r="AJ66" s="285">
        <f t="shared" si="59"/>
        <v>163.02254256930186</v>
      </c>
      <c r="AK66" s="12"/>
      <c r="AL66" s="12"/>
      <c r="AM66" s="12"/>
      <c r="AN66" s="12"/>
      <c r="AO66" s="12"/>
      <c r="AP66" s="12"/>
    </row>
    <row r="67" spans="1:42" x14ac:dyDescent="0.15">
      <c r="A67" s="683">
        <v>5020</v>
      </c>
      <c r="B67" s="493">
        <f t="shared" si="55"/>
        <v>8.9928057553956826</v>
      </c>
      <c r="C67" s="636" t="s">
        <v>181</v>
      </c>
      <c r="D67" s="147">
        <v>3415</v>
      </c>
      <c r="E67" s="285">
        <v>2500</v>
      </c>
      <c r="F67" s="347">
        <f t="shared" si="56"/>
        <v>208.33333333333334</v>
      </c>
      <c r="G67" s="285">
        <f t="shared" ref="G67:AH67" si="95">F67*(1+GlobalInflation)</f>
        <v>212.5</v>
      </c>
      <c r="H67" s="285">
        <f t="shared" si="95"/>
        <v>216.75</v>
      </c>
      <c r="I67" s="285">
        <f t="shared" si="95"/>
        <v>221.08500000000001</v>
      </c>
      <c r="J67" s="285">
        <f t="shared" si="95"/>
        <v>225.50670000000002</v>
      </c>
      <c r="K67" s="285">
        <f t="shared" si="95"/>
        <v>230.01683400000002</v>
      </c>
      <c r="L67" s="285">
        <f t="shared" si="95"/>
        <v>234.61717068000002</v>
      </c>
      <c r="M67" s="285">
        <f t="shared" si="95"/>
        <v>239.30951409360003</v>
      </c>
      <c r="N67" s="285">
        <f t="shared" si="95"/>
        <v>244.09570437547202</v>
      </c>
      <c r="O67" s="285">
        <f t="shared" si="95"/>
        <v>248.97761846298147</v>
      </c>
      <c r="P67" s="285">
        <f t="shared" si="95"/>
        <v>253.9571708322411</v>
      </c>
      <c r="Q67" s="285">
        <f t="shared" si="95"/>
        <v>259.03631424888596</v>
      </c>
      <c r="R67" s="285">
        <f t="shared" si="95"/>
        <v>264.21704053386367</v>
      </c>
      <c r="S67" s="285">
        <f t="shared" si="95"/>
        <v>269.50138134454096</v>
      </c>
      <c r="T67" s="285">
        <f t="shared" si="95"/>
        <v>274.89140897143176</v>
      </c>
      <c r="U67" s="285">
        <f t="shared" si="95"/>
        <v>280.38923715086042</v>
      </c>
      <c r="V67" s="285">
        <f t="shared" si="95"/>
        <v>285.99702189387762</v>
      </c>
      <c r="W67" s="285">
        <f t="shared" si="95"/>
        <v>291.71696233175516</v>
      </c>
      <c r="X67" s="285">
        <f t="shared" si="95"/>
        <v>297.55130157839028</v>
      </c>
      <c r="Y67" s="285">
        <f t="shared" si="95"/>
        <v>303.50232760995812</v>
      </c>
      <c r="Z67" s="285">
        <f t="shared" si="95"/>
        <v>309.5723741621573</v>
      </c>
      <c r="AA67" s="285">
        <f t="shared" si="95"/>
        <v>315.76382164540047</v>
      </c>
      <c r="AB67" s="285">
        <f t="shared" si="95"/>
        <v>322.0790980783085</v>
      </c>
      <c r="AC67" s="285">
        <f t="shared" si="95"/>
        <v>328.52068003987466</v>
      </c>
      <c r="AD67" s="285">
        <f t="shared" si="95"/>
        <v>335.09109364067217</v>
      </c>
      <c r="AE67" s="285">
        <f t="shared" si="95"/>
        <v>341.79291551348564</v>
      </c>
      <c r="AF67" s="285">
        <f t="shared" si="95"/>
        <v>348.62877382375535</v>
      </c>
      <c r="AG67" s="285">
        <f t="shared" si="95"/>
        <v>355.60134930023048</v>
      </c>
      <c r="AH67" s="285">
        <f t="shared" si="95"/>
        <v>362.71337628623507</v>
      </c>
      <c r="AI67" s="285">
        <f t="shared" si="58"/>
        <v>369.96764381195976</v>
      </c>
      <c r="AJ67" s="285">
        <f t="shared" si="59"/>
        <v>377.36699668819898</v>
      </c>
      <c r="AK67" s="12"/>
      <c r="AL67" s="12"/>
      <c r="AM67" s="12"/>
      <c r="AN67" s="12"/>
      <c r="AO67" s="12"/>
      <c r="AP67" s="12"/>
    </row>
    <row r="68" spans="1:42" x14ac:dyDescent="0.15">
      <c r="A68" s="683">
        <v>5104</v>
      </c>
      <c r="B68" s="493">
        <f t="shared" si="55"/>
        <v>200</v>
      </c>
      <c r="C68" s="636" t="str">
        <f>"Maintenance / Capital Reserve ("&amp;TEXT(J10,"$0")&amp;" per space / year)"</f>
        <v>Maintenance / Capital Reserve ($200 per space / year)</v>
      </c>
      <c r="D68" s="147">
        <v>16404</v>
      </c>
      <c r="E68" s="285">
        <f>J10*NoOfSpaces</f>
        <v>55600</v>
      </c>
      <c r="F68" s="347">
        <f t="shared" ref="F68:F76" si="96">E68/12</f>
        <v>4633.333333333333</v>
      </c>
      <c r="G68" s="285">
        <f t="shared" ref="G68:AH68" si="97">F68*(1+GlobalInflation)</f>
        <v>4726</v>
      </c>
      <c r="H68" s="285">
        <f t="shared" si="97"/>
        <v>4820.5200000000004</v>
      </c>
      <c r="I68" s="285">
        <f t="shared" si="97"/>
        <v>4916.9304000000002</v>
      </c>
      <c r="J68" s="285">
        <f t="shared" si="97"/>
        <v>5015.2690080000002</v>
      </c>
      <c r="K68" s="285">
        <f t="shared" si="97"/>
        <v>5115.5743881600001</v>
      </c>
      <c r="L68" s="285">
        <f t="shared" si="97"/>
        <v>5217.8858759231998</v>
      </c>
      <c r="M68" s="285">
        <f t="shared" si="97"/>
        <v>5322.2435934416635</v>
      </c>
      <c r="N68" s="285">
        <f t="shared" si="97"/>
        <v>5428.6884653104971</v>
      </c>
      <c r="O68" s="285">
        <f t="shared" si="97"/>
        <v>5537.2622346167072</v>
      </c>
      <c r="P68" s="285">
        <f t="shared" si="97"/>
        <v>5648.0074793090416</v>
      </c>
      <c r="Q68" s="285">
        <f t="shared" si="97"/>
        <v>5760.9676288952223</v>
      </c>
      <c r="R68" s="285">
        <f t="shared" si="97"/>
        <v>5876.1869814731272</v>
      </c>
      <c r="S68" s="285">
        <f t="shared" si="97"/>
        <v>5993.7107211025896</v>
      </c>
      <c r="T68" s="285">
        <f t="shared" si="97"/>
        <v>6113.5849355246419</v>
      </c>
      <c r="U68" s="285">
        <f t="shared" si="97"/>
        <v>6235.8566342351351</v>
      </c>
      <c r="V68" s="285">
        <f t="shared" si="97"/>
        <v>6360.5737669198379</v>
      </c>
      <c r="W68" s="285">
        <f t="shared" si="97"/>
        <v>6487.7852422582346</v>
      </c>
      <c r="X68" s="285">
        <f t="shared" si="97"/>
        <v>6617.540947103399</v>
      </c>
      <c r="Y68" s="285">
        <f t="shared" si="97"/>
        <v>6749.8917660454672</v>
      </c>
      <c r="Z68" s="285">
        <f t="shared" si="97"/>
        <v>6884.8896013663771</v>
      </c>
      <c r="AA68" s="285">
        <f t="shared" si="97"/>
        <v>7022.5873933937046</v>
      </c>
      <c r="AB68" s="285">
        <f t="shared" si="97"/>
        <v>7163.0391412615791</v>
      </c>
      <c r="AC68" s="285">
        <f t="shared" si="97"/>
        <v>7306.2999240868112</v>
      </c>
      <c r="AD68" s="285">
        <f t="shared" si="97"/>
        <v>7452.4259225685473</v>
      </c>
      <c r="AE68" s="285">
        <f t="shared" si="97"/>
        <v>7601.4744410199182</v>
      </c>
      <c r="AF68" s="285">
        <f t="shared" si="97"/>
        <v>7753.5039298403171</v>
      </c>
      <c r="AG68" s="285">
        <f t="shared" si="97"/>
        <v>7908.5740084371237</v>
      </c>
      <c r="AH68" s="285">
        <f t="shared" si="97"/>
        <v>8066.7454886058658</v>
      </c>
      <c r="AI68" s="285">
        <f t="shared" si="58"/>
        <v>8228.0803983779824</v>
      </c>
      <c r="AJ68" s="285">
        <f t="shared" si="59"/>
        <v>8392.6420063455425</v>
      </c>
      <c r="AK68" s="12"/>
      <c r="AL68" s="12"/>
      <c r="AM68" s="12"/>
      <c r="AN68" s="12"/>
      <c r="AO68" s="12"/>
      <c r="AP68" s="12"/>
    </row>
    <row r="69" spans="1:42" x14ac:dyDescent="0.15">
      <c r="A69" s="683">
        <v>5109</v>
      </c>
      <c r="B69" s="493">
        <f t="shared" si="55"/>
        <v>35.97122302158273</v>
      </c>
      <c r="C69" s="636" t="s">
        <v>182</v>
      </c>
      <c r="D69" s="147">
        <v>5676</v>
      </c>
      <c r="E69" s="285">
        <v>10000</v>
      </c>
      <c r="F69" s="347">
        <f>E69/12</f>
        <v>833.33333333333337</v>
      </c>
      <c r="G69" s="285">
        <f t="shared" ref="G69:AH69" si="98">F69*(1+GlobalInflation)</f>
        <v>850</v>
      </c>
      <c r="H69" s="285">
        <f t="shared" si="98"/>
        <v>867</v>
      </c>
      <c r="I69" s="285">
        <f t="shared" si="98"/>
        <v>884.34</v>
      </c>
      <c r="J69" s="285">
        <f t="shared" si="98"/>
        <v>902.02680000000009</v>
      </c>
      <c r="K69" s="285">
        <f t="shared" si="98"/>
        <v>920.06733600000007</v>
      </c>
      <c r="L69" s="285">
        <f t="shared" si="98"/>
        <v>938.46868272000006</v>
      </c>
      <c r="M69" s="285">
        <f t="shared" si="98"/>
        <v>957.23805637440012</v>
      </c>
      <c r="N69" s="285">
        <f t="shared" si="98"/>
        <v>976.3828175018881</v>
      </c>
      <c r="O69" s="285">
        <f t="shared" si="98"/>
        <v>995.91047385192587</v>
      </c>
      <c r="P69" s="285">
        <f t="shared" si="98"/>
        <v>1015.8286833289644</v>
      </c>
      <c r="Q69" s="285">
        <f t="shared" si="98"/>
        <v>1036.1452569955438</v>
      </c>
      <c r="R69" s="285">
        <f t="shared" si="98"/>
        <v>1056.8681621354547</v>
      </c>
      <c r="S69" s="285">
        <f t="shared" si="98"/>
        <v>1078.0055253781638</v>
      </c>
      <c r="T69" s="285">
        <f t="shared" si="98"/>
        <v>1099.565635885727</v>
      </c>
      <c r="U69" s="285">
        <f t="shared" si="98"/>
        <v>1121.5569486034417</v>
      </c>
      <c r="V69" s="285">
        <f t="shared" si="98"/>
        <v>1143.9880875755105</v>
      </c>
      <c r="W69" s="285">
        <f t="shared" si="98"/>
        <v>1166.8678493270206</v>
      </c>
      <c r="X69" s="285">
        <f t="shared" si="98"/>
        <v>1190.2052063135611</v>
      </c>
      <c r="Y69" s="285">
        <f t="shared" si="98"/>
        <v>1214.0093104398325</v>
      </c>
      <c r="Z69" s="285">
        <f t="shared" si="98"/>
        <v>1238.2894966486292</v>
      </c>
      <c r="AA69" s="285">
        <f t="shared" si="98"/>
        <v>1263.0552865816019</v>
      </c>
      <c r="AB69" s="285">
        <f t="shared" si="98"/>
        <v>1288.316392313234</v>
      </c>
      <c r="AC69" s="285">
        <f t="shared" si="98"/>
        <v>1314.0827201594986</v>
      </c>
      <c r="AD69" s="285">
        <f t="shared" si="98"/>
        <v>1340.3643745626887</v>
      </c>
      <c r="AE69" s="285">
        <f t="shared" si="98"/>
        <v>1367.1716620539426</v>
      </c>
      <c r="AF69" s="285">
        <f t="shared" si="98"/>
        <v>1394.5150952950214</v>
      </c>
      <c r="AG69" s="285">
        <f t="shared" si="98"/>
        <v>1422.4053972009219</v>
      </c>
      <c r="AH69" s="285">
        <f t="shared" si="98"/>
        <v>1450.8535051449403</v>
      </c>
      <c r="AI69" s="285">
        <f t="shared" si="58"/>
        <v>1479.870575247839</v>
      </c>
      <c r="AJ69" s="285">
        <f t="shared" si="59"/>
        <v>1509.4679867527959</v>
      </c>
      <c r="AK69" s="12"/>
      <c r="AL69" s="12"/>
      <c r="AM69" s="12"/>
      <c r="AN69" s="12"/>
      <c r="AO69" s="12"/>
      <c r="AP69" s="12"/>
    </row>
    <row r="70" spans="1:42" x14ac:dyDescent="0.15">
      <c r="A70" s="683">
        <v>5200</v>
      </c>
      <c r="B70" s="493">
        <f t="shared" si="55"/>
        <v>31.84748201438849</v>
      </c>
      <c r="C70" s="636" t="s">
        <v>183</v>
      </c>
      <c r="D70" s="147">
        <v>8680</v>
      </c>
      <c r="E70" s="285">
        <f>+D70*1.02</f>
        <v>8853.6</v>
      </c>
      <c r="F70" s="347">
        <f>E70/12</f>
        <v>737.80000000000007</v>
      </c>
      <c r="G70" s="285">
        <f t="shared" ref="G70:AH70" si="99">F70*(1+GlobalInflation)</f>
        <v>752.55600000000004</v>
      </c>
      <c r="H70" s="285">
        <f t="shared" si="99"/>
        <v>767.60712000000001</v>
      </c>
      <c r="I70" s="285">
        <f t="shared" si="99"/>
        <v>782.95926240000006</v>
      </c>
      <c r="J70" s="285">
        <f t="shared" si="99"/>
        <v>798.61844764800003</v>
      </c>
      <c r="K70" s="285">
        <f t="shared" si="99"/>
        <v>814.59081660096001</v>
      </c>
      <c r="L70" s="285">
        <f t="shared" si="99"/>
        <v>830.88263293297928</v>
      </c>
      <c r="M70" s="285">
        <f t="shared" si="99"/>
        <v>847.50028559163889</v>
      </c>
      <c r="N70" s="285">
        <f t="shared" si="99"/>
        <v>864.45029130347166</v>
      </c>
      <c r="O70" s="285">
        <f t="shared" si="99"/>
        <v>881.73929712954111</v>
      </c>
      <c r="P70" s="285">
        <f t="shared" si="99"/>
        <v>899.37408307213195</v>
      </c>
      <c r="Q70" s="285">
        <f t="shared" si="99"/>
        <v>917.3615647335746</v>
      </c>
      <c r="R70" s="285">
        <f t="shared" si="99"/>
        <v>935.70879602824607</v>
      </c>
      <c r="S70" s="285">
        <f t="shared" si="99"/>
        <v>954.42297194881098</v>
      </c>
      <c r="T70" s="285">
        <f t="shared" si="99"/>
        <v>973.51143138778718</v>
      </c>
      <c r="U70" s="285">
        <f t="shared" si="99"/>
        <v>992.98166001554296</v>
      </c>
      <c r="V70" s="285">
        <f t="shared" si="99"/>
        <v>1012.8412932158539</v>
      </c>
      <c r="W70" s="285">
        <f t="shared" si="99"/>
        <v>1033.098119080171</v>
      </c>
      <c r="X70" s="285">
        <f t="shared" si="99"/>
        <v>1053.7600814617745</v>
      </c>
      <c r="Y70" s="285">
        <f t="shared" si="99"/>
        <v>1074.8352830910101</v>
      </c>
      <c r="Z70" s="285">
        <f t="shared" si="99"/>
        <v>1096.3319887528303</v>
      </c>
      <c r="AA70" s="285">
        <f t="shared" si="99"/>
        <v>1118.2586285278869</v>
      </c>
      <c r="AB70" s="285">
        <f t="shared" si="99"/>
        <v>1140.6238010984446</v>
      </c>
      <c r="AC70" s="285">
        <f t="shared" si="99"/>
        <v>1163.4362771204135</v>
      </c>
      <c r="AD70" s="285">
        <f t="shared" si="99"/>
        <v>1186.7050026628217</v>
      </c>
      <c r="AE70" s="285">
        <f t="shared" si="99"/>
        <v>1210.4391027160782</v>
      </c>
      <c r="AF70" s="285">
        <f t="shared" si="99"/>
        <v>1234.6478847703997</v>
      </c>
      <c r="AG70" s="285">
        <f t="shared" si="99"/>
        <v>1259.3408424658078</v>
      </c>
      <c r="AH70" s="285">
        <f t="shared" si="99"/>
        <v>1284.5276593151239</v>
      </c>
      <c r="AI70" s="285">
        <f t="shared" si="58"/>
        <v>1310.2182125014263</v>
      </c>
      <c r="AJ70" s="285">
        <f t="shared" si="59"/>
        <v>1336.4225767514547</v>
      </c>
      <c r="AK70" s="12"/>
      <c r="AL70" s="12"/>
      <c r="AM70" s="12"/>
      <c r="AN70" s="12"/>
      <c r="AO70" s="12"/>
      <c r="AP70" s="12"/>
    </row>
    <row r="71" spans="1:42" x14ac:dyDescent="0.15">
      <c r="A71" s="683">
        <v>5301</v>
      </c>
      <c r="B71" s="493">
        <f t="shared" si="55"/>
        <v>101.99838129496402</v>
      </c>
      <c r="C71" s="636" t="s">
        <v>184</v>
      </c>
      <c r="D71" s="147">
        <v>24657</v>
      </c>
      <c r="E71" s="285">
        <f>D71*1.15</f>
        <v>28355.55</v>
      </c>
      <c r="F71" s="347">
        <f>E71/12</f>
        <v>2362.9625000000001</v>
      </c>
      <c r="G71" s="285">
        <f t="shared" ref="G71:AH71" si="100">F71*(1+GlobalInflation)</f>
        <v>2410.2217500000002</v>
      </c>
      <c r="H71" s="285">
        <f t="shared" si="100"/>
        <v>2458.4261850000003</v>
      </c>
      <c r="I71" s="285">
        <f t="shared" si="100"/>
        <v>2507.5947087000004</v>
      </c>
      <c r="J71" s="285">
        <f t="shared" si="100"/>
        <v>2557.7466028740005</v>
      </c>
      <c r="K71" s="285">
        <f t="shared" si="100"/>
        <v>2608.9015349314805</v>
      </c>
      <c r="L71" s="285">
        <f t="shared" si="100"/>
        <v>2661.0795656301102</v>
      </c>
      <c r="M71" s="285">
        <f t="shared" si="100"/>
        <v>2714.3011569427126</v>
      </c>
      <c r="N71" s="285">
        <f t="shared" si="100"/>
        <v>2768.5871800815671</v>
      </c>
      <c r="O71" s="285">
        <f t="shared" si="100"/>
        <v>2823.9589236831985</v>
      </c>
      <c r="P71" s="285">
        <f t="shared" si="100"/>
        <v>2880.4381021568624</v>
      </c>
      <c r="Q71" s="285">
        <f t="shared" si="100"/>
        <v>2938.0468641999996</v>
      </c>
      <c r="R71" s="285">
        <f t="shared" si="100"/>
        <v>2996.8078014839998</v>
      </c>
      <c r="S71" s="285">
        <f t="shared" si="100"/>
        <v>3056.74395751368</v>
      </c>
      <c r="T71" s="285">
        <f t="shared" si="100"/>
        <v>3117.8788366639537</v>
      </c>
      <c r="U71" s="285">
        <f t="shared" si="100"/>
        <v>3180.2364133972328</v>
      </c>
      <c r="V71" s="285">
        <f t="shared" si="100"/>
        <v>3243.8411416651775</v>
      </c>
      <c r="W71" s="285">
        <f t="shared" si="100"/>
        <v>3308.7179644984813</v>
      </c>
      <c r="X71" s="285">
        <f t="shared" si="100"/>
        <v>3374.892323788451</v>
      </c>
      <c r="Y71" s="285">
        <f t="shared" si="100"/>
        <v>3442.3901702642202</v>
      </c>
      <c r="Z71" s="285">
        <f t="shared" si="100"/>
        <v>3511.2379736695048</v>
      </c>
      <c r="AA71" s="285">
        <f t="shared" si="100"/>
        <v>3581.4627331428951</v>
      </c>
      <c r="AB71" s="285">
        <f t="shared" si="100"/>
        <v>3653.091987805753</v>
      </c>
      <c r="AC71" s="285">
        <f t="shared" si="100"/>
        <v>3726.1538275618682</v>
      </c>
      <c r="AD71" s="285">
        <f t="shared" si="100"/>
        <v>3800.6769041131056</v>
      </c>
      <c r="AE71" s="285">
        <f t="shared" si="100"/>
        <v>3876.6904421953677</v>
      </c>
      <c r="AF71" s="285">
        <f t="shared" si="100"/>
        <v>3954.2242510392753</v>
      </c>
      <c r="AG71" s="285">
        <f t="shared" si="100"/>
        <v>4033.3087360600607</v>
      </c>
      <c r="AH71" s="285">
        <f t="shared" si="100"/>
        <v>4113.9749107812622</v>
      </c>
      <c r="AI71" s="285">
        <f t="shared" si="58"/>
        <v>4196.2544089968878</v>
      </c>
      <c r="AJ71" s="285">
        <f t="shared" si="59"/>
        <v>4280.1794971768259</v>
      </c>
      <c r="AK71" s="12"/>
      <c r="AL71" s="12"/>
      <c r="AM71" s="12"/>
      <c r="AN71" s="12"/>
      <c r="AO71" s="12"/>
      <c r="AP71" s="12"/>
    </row>
    <row r="72" spans="1:42" x14ac:dyDescent="0.15">
      <c r="A72" s="683">
        <v>5053</v>
      </c>
      <c r="B72" s="493">
        <f t="shared" si="55"/>
        <v>71.942446043165461</v>
      </c>
      <c r="C72" s="636" t="s">
        <v>185</v>
      </c>
      <c r="D72" s="147">
        <v>14815</v>
      </c>
      <c r="E72" s="285">
        <v>20000</v>
      </c>
      <c r="F72" s="347">
        <f>E72/12</f>
        <v>1666.6666666666667</v>
      </c>
      <c r="G72" s="285">
        <f t="shared" ref="G72:AH72" si="101">F72*(1+GlobalInflation)</f>
        <v>1700</v>
      </c>
      <c r="H72" s="285">
        <f t="shared" si="101"/>
        <v>1734</v>
      </c>
      <c r="I72" s="285">
        <f t="shared" si="101"/>
        <v>1768.68</v>
      </c>
      <c r="J72" s="285">
        <f t="shared" si="101"/>
        <v>1804.0536000000002</v>
      </c>
      <c r="K72" s="285">
        <f t="shared" si="101"/>
        <v>1840.1346720000001</v>
      </c>
      <c r="L72" s="285">
        <f t="shared" si="101"/>
        <v>1876.9373654400001</v>
      </c>
      <c r="M72" s="285">
        <f t="shared" si="101"/>
        <v>1914.4761127488002</v>
      </c>
      <c r="N72" s="285">
        <f t="shared" si="101"/>
        <v>1952.7656350037762</v>
      </c>
      <c r="O72" s="285">
        <f t="shared" si="101"/>
        <v>1991.8209477038517</v>
      </c>
      <c r="P72" s="285">
        <f t="shared" si="101"/>
        <v>2031.6573666579288</v>
      </c>
      <c r="Q72" s="285">
        <f t="shared" si="101"/>
        <v>2072.2905139910877</v>
      </c>
      <c r="R72" s="285">
        <f t="shared" si="101"/>
        <v>2113.7363242709093</v>
      </c>
      <c r="S72" s="285">
        <f t="shared" si="101"/>
        <v>2156.0110507563277</v>
      </c>
      <c r="T72" s="285">
        <f t="shared" si="101"/>
        <v>2199.1312717714541</v>
      </c>
      <c r="U72" s="285">
        <f t="shared" si="101"/>
        <v>2243.1138972068834</v>
      </c>
      <c r="V72" s="285">
        <f t="shared" si="101"/>
        <v>2287.9761751510209</v>
      </c>
      <c r="W72" s="285">
        <f t="shared" si="101"/>
        <v>2333.7356986540412</v>
      </c>
      <c r="X72" s="285">
        <f t="shared" si="101"/>
        <v>2380.4104126271222</v>
      </c>
      <c r="Y72" s="285">
        <f t="shared" si="101"/>
        <v>2428.0186208796649</v>
      </c>
      <c r="Z72" s="285">
        <f t="shared" si="101"/>
        <v>2476.5789932972584</v>
      </c>
      <c r="AA72" s="285">
        <f t="shared" si="101"/>
        <v>2526.1105731632038</v>
      </c>
      <c r="AB72" s="285">
        <f t="shared" si="101"/>
        <v>2576.632784626468</v>
      </c>
      <c r="AC72" s="285">
        <f t="shared" si="101"/>
        <v>2628.1654403189973</v>
      </c>
      <c r="AD72" s="285">
        <f t="shared" si="101"/>
        <v>2680.7287491253774</v>
      </c>
      <c r="AE72" s="285">
        <f t="shared" si="101"/>
        <v>2734.3433241078851</v>
      </c>
      <c r="AF72" s="285">
        <f t="shared" si="101"/>
        <v>2789.0301905900428</v>
      </c>
      <c r="AG72" s="285">
        <f t="shared" si="101"/>
        <v>2844.8107944018439</v>
      </c>
      <c r="AH72" s="285">
        <f t="shared" si="101"/>
        <v>2901.7070102898806</v>
      </c>
      <c r="AI72" s="285">
        <f t="shared" si="58"/>
        <v>2959.7411504956781</v>
      </c>
      <c r="AJ72" s="285">
        <f t="shared" si="59"/>
        <v>3018.9359735055918</v>
      </c>
      <c r="AK72" s="12"/>
      <c r="AL72" s="12"/>
      <c r="AM72" s="12"/>
      <c r="AN72" s="12"/>
      <c r="AO72" s="12"/>
      <c r="AP72" s="12"/>
    </row>
    <row r="73" spans="1:42" x14ac:dyDescent="0.15">
      <c r="A73" s="683">
        <v>5604</v>
      </c>
      <c r="B73" s="493">
        <f t="shared" si="55"/>
        <v>3.9388489208633093</v>
      </c>
      <c r="C73" s="636" t="s">
        <v>186</v>
      </c>
      <c r="D73" s="147">
        <f ca="1">OFFSET('IE SUMMARY'!D47,0,MoveCount)</f>
        <v>0</v>
      </c>
      <c r="E73" s="285">
        <f>195+(75*12)</f>
        <v>1095</v>
      </c>
      <c r="F73" s="347">
        <f t="shared" si="96"/>
        <v>91.25</v>
      </c>
      <c r="G73" s="285">
        <f t="shared" ref="G73:AH73" si="102">F73*(1+GlobalInflation)</f>
        <v>93.075000000000003</v>
      </c>
      <c r="H73" s="285">
        <f t="shared" si="102"/>
        <v>94.936500000000009</v>
      </c>
      <c r="I73" s="285">
        <f t="shared" si="102"/>
        <v>96.83523000000001</v>
      </c>
      <c r="J73" s="285">
        <f t="shared" si="102"/>
        <v>98.771934600000009</v>
      </c>
      <c r="K73" s="285">
        <f t="shared" si="102"/>
        <v>100.74737329200001</v>
      </c>
      <c r="L73" s="285">
        <f t="shared" si="102"/>
        <v>102.76232075784</v>
      </c>
      <c r="M73" s="285">
        <f t="shared" si="102"/>
        <v>104.8175671729968</v>
      </c>
      <c r="N73" s="285">
        <f t="shared" si="102"/>
        <v>106.91391851645675</v>
      </c>
      <c r="O73" s="285">
        <f t="shared" si="102"/>
        <v>109.05219688678588</v>
      </c>
      <c r="P73" s="285">
        <f t="shared" si="102"/>
        <v>111.2332408245216</v>
      </c>
      <c r="Q73" s="285">
        <f t="shared" si="102"/>
        <v>113.45790564101203</v>
      </c>
      <c r="R73" s="285">
        <f t="shared" si="102"/>
        <v>115.72706375383227</v>
      </c>
      <c r="S73" s="285">
        <f t="shared" si="102"/>
        <v>118.04160502890892</v>
      </c>
      <c r="T73" s="285">
        <f t="shared" si="102"/>
        <v>120.4024371294871</v>
      </c>
      <c r="U73" s="285">
        <f t="shared" si="102"/>
        <v>122.81048587207684</v>
      </c>
      <c r="V73" s="285">
        <f t="shared" si="102"/>
        <v>125.26669558951838</v>
      </c>
      <c r="W73" s="285">
        <f t="shared" si="102"/>
        <v>127.77202950130875</v>
      </c>
      <c r="X73" s="285">
        <f t="shared" si="102"/>
        <v>130.32747009133493</v>
      </c>
      <c r="Y73" s="285">
        <f t="shared" si="102"/>
        <v>132.93401949316163</v>
      </c>
      <c r="Z73" s="285">
        <f t="shared" si="102"/>
        <v>135.59269988302486</v>
      </c>
      <c r="AA73" s="285">
        <f t="shared" si="102"/>
        <v>138.30455388068538</v>
      </c>
      <c r="AB73" s="285">
        <f t="shared" si="102"/>
        <v>141.07064495829908</v>
      </c>
      <c r="AC73" s="285">
        <f t="shared" si="102"/>
        <v>143.89205785746506</v>
      </c>
      <c r="AD73" s="285">
        <f t="shared" si="102"/>
        <v>146.76989901461437</v>
      </c>
      <c r="AE73" s="285">
        <f t="shared" si="102"/>
        <v>149.70529699490666</v>
      </c>
      <c r="AF73" s="285">
        <f t="shared" si="102"/>
        <v>152.69940293480479</v>
      </c>
      <c r="AG73" s="285">
        <f t="shared" si="102"/>
        <v>155.75339099350089</v>
      </c>
      <c r="AH73" s="285">
        <f t="shared" si="102"/>
        <v>158.86845881337089</v>
      </c>
      <c r="AI73" s="285">
        <f t="shared" si="58"/>
        <v>162.04582798963833</v>
      </c>
      <c r="AJ73" s="285">
        <f t="shared" si="59"/>
        <v>165.28674454943109</v>
      </c>
      <c r="AK73" s="12"/>
      <c r="AL73" s="12"/>
      <c r="AM73" s="12"/>
      <c r="AN73" s="12"/>
      <c r="AO73" s="12"/>
      <c r="AP73" s="12"/>
    </row>
    <row r="74" spans="1:42" x14ac:dyDescent="0.15">
      <c r="A74" s="683">
        <v>5062</v>
      </c>
      <c r="B74" s="493">
        <f t="shared" si="55"/>
        <v>8.9928057553956826</v>
      </c>
      <c r="C74" s="636" t="s">
        <v>187</v>
      </c>
      <c r="D74" s="147">
        <v>5</v>
      </c>
      <c r="E74" s="285">
        <v>2500</v>
      </c>
      <c r="F74" s="347">
        <f>E74/12</f>
        <v>208.33333333333334</v>
      </c>
      <c r="G74" s="285">
        <f t="shared" ref="G74:AH74" si="103">F74*(1+GlobalInflation)</f>
        <v>212.5</v>
      </c>
      <c r="H74" s="285">
        <f t="shared" si="103"/>
        <v>216.75</v>
      </c>
      <c r="I74" s="285">
        <f t="shared" si="103"/>
        <v>221.08500000000001</v>
      </c>
      <c r="J74" s="285">
        <f t="shared" si="103"/>
        <v>225.50670000000002</v>
      </c>
      <c r="K74" s="285">
        <f t="shared" si="103"/>
        <v>230.01683400000002</v>
      </c>
      <c r="L74" s="285">
        <f t="shared" si="103"/>
        <v>234.61717068000002</v>
      </c>
      <c r="M74" s="285">
        <f t="shared" si="103"/>
        <v>239.30951409360003</v>
      </c>
      <c r="N74" s="285">
        <f t="shared" si="103"/>
        <v>244.09570437547202</v>
      </c>
      <c r="O74" s="285">
        <f t="shared" si="103"/>
        <v>248.97761846298147</v>
      </c>
      <c r="P74" s="285">
        <f t="shared" si="103"/>
        <v>253.9571708322411</v>
      </c>
      <c r="Q74" s="285">
        <f t="shared" si="103"/>
        <v>259.03631424888596</v>
      </c>
      <c r="R74" s="285">
        <f t="shared" si="103"/>
        <v>264.21704053386367</v>
      </c>
      <c r="S74" s="285">
        <f t="shared" si="103"/>
        <v>269.50138134454096</v>
      </c>
      <c r="T74" s="285">
        <f t="shared" si="103"/>
        <v>274.89140897143176</v>
      </c>
      <c r="U74" s="285">
        <f t="shared" si="103"/>
        <v>280.38923715086042</v>
      </c>
      <c r="V74" s="285">
        <f t="shared" si="103"/>
        <v>285.99702189387762</v>
      </c>
      <c r="W74" s="285">
        <f t="shared" si="103"/>
        <v>291.71696233175516</v>
      </c>
      <c r="X74" s="285">
        <f t="shared" si="103"/>
        <v>297.55130157839028</v>
      </c>
      <c r="Y74" s="285">
        <f t="shared" si="103"/>
        <v>303.50232760995812</v>
      </c>
      <c r="Z74" s="285">
        <f t="shared" si="103"/>
        <v>309.5723741621573</v>
      </c>
      <c r="AA74" s="285">
        <f t="shared" si="103"/>
        <v>315.76382164540047</v>
      </c>
      <c r="AB74" s="285">
        <f t="shared" si="103"/>
        <v>322.0790980783085</v>
      </c>
      <c r="AC74" s="285">
        <f t="shared" si="103"/>
        <v>328.52068003987466</v>
      </c>
      <c r="AD74" s="285">
        <f t="shared" si="103"/>
        <v>335.09109364067217</v>
      </c>
      <c r="AE74" s="285">
        <f t="shared" si="103"/>
        <v>341.79291551348564</v>
      </c>
      <c r="AF74" s="285">
        <f t="shared" si="103"/>
        <v>348.62877382375535</v>
      </c>
      <c r="AG74" s="285">
        <f t="shared" si="103"/>
        <v>355.60134930023048</v>
      </c>
      <c r="AH74" s="285">
        <f t="shared" si="103"/>
        <v>362.71337628623507</v>
      </c>
      <c r="AI74" s="285">
        <f t="shared" si="58"/>
        <v>369.96764381195976</v>
      </c>
      <c r="AJ74" s="285">
        <f t="shared" si="59"/>
        <v>377.36699668819898</v>
      </c>
      <c r="AK74" s="12"/>
      <c r="AL74" s="12"/>
      <c r="AM74" s="12"/>
      <c r="AN74" s="12"/>
      <c r="AO74" s="12"/>
      <c r="AP74" s="12"/>
    </row>
    <row r="75" spans="1:42" x14ac:dyDescent="0.15">
      <c r="A75" s="683">
        <v>5302</v>
      </c>
      <c r="B75" s="493">
        <f t="shared" si="55"/>
        <v>6.1151079136690649</v>
      </c>
      <c r="C75" s="636" t="s">
        <v>188</v>
      </c>
      <c r="D75" s="147">
        <f ca="1">OFFSET('IE SUMMARY'!D49,0,MoveCount)</f>
        <v>0</v>
      </c>
      <c r="E75" s="285">
        <v>1700</v>
      </c>
      <c r="F75" s="347">
        <f t="shared" si="96"/>
        <v>141.66666666666666</v>
      </c>
      <c r="G75" s="285">
        <f t="shared" ref="G75:AH75" si="104">F75*(1+GlobalInflation)</f>
        <v>144.5</v>
      </c>
      <c r="H75" s="285">
        <f t="shared" si="104"/>
        <v>147.39000000000001</v>
      </c>
      <c r="I75" s="285">
        <f t="shared" si="104"/>
        <v>150.33780000000002</v>
      </c>
      <c r="J75" s="285">
        <f t="shared" si="104"/>
        <v>153.34455600000001</v>
      </c>
      <c r="K75" s="285">
        <f t="shared" si="104"/>
        <v>156.41144712000002</v>
      </c>
      <c r="L75" s="285">
        <f t="shared" si="104"/>
        <v>159.53967606240002</v>
      </c>
      <c r="M75" s="285">
        <f t="shared" si="104"/>
        <v>162.73046958364802</v>
      </c>
      <c r="N75" s="285">
        <f t="shared" si="104"/>
        <v>165.98507897532099</v>
      </c>
      <c r="O75" s="285">
        <f t="shared" si="104"/>
        <v>169.3047805548274</v>
      </c>
      <c r="P75" s="285">
        <f t="shared" si="104"/>
        <v>172.69087616592395</v>
      </c>
      <c r="Q75" s="285">
        <f t="shared" si="104"/>
        <v>176.14469368924244</v>
      </c>
      <c r="R75" s="285">
        <f t="shared" si="104"/>
        <v>179.6675875630273</v>
      </c>
      <c r="S75" s="285">
        <f t="shared" si="104"/>
        <v>183.26093931428784</v>
      </c>
      <c r="T75" s="285">
        <f t="shared" si="104"/>
        <v>186.92615810057359</v>
      </c>
      <c r="U75" s="285">
        <f t="shared" si="104"/>
        <v>190.66468126258505</v>
      </c>
      <c r="V75" s="285">
        <f t="shared" si="104"/>
        <v>194.47797488783675</v>
      </c>
      <c r="W75" s="285">
        <f t="shared" si="104"/>
        <v>198.3675343855935</v>
      </c>
      <c r="X75" s="285">
        <f t="shared" si="104"/>
        <v>202.33488507330537</v>
      </c>
      <c r="Y75" s="285">
        <f t="shared" si="104"/>
        <v>206.38158277477149</v>
      </c>
      <c r="Z75" s="285">
        <f t="shared" si="104"/>
        <v>210.50921443026692</v>
      </c>
      <c r="AA75" s="285">
        <f t="shared" si="104"/>
        <v>214.71939871887227</v>
      </c>
      <c r="AB75" s="285">
        <f t="shared" si="104"/>
        <v>219.01378669324973</v>
      </c>
      <c r="AC75" s="285">
        <f t="shared" si="104"/>
        <v>223.39406242711473</v>
      </c>
      <c r="AD75" s="285">
        <f t="shared" si="104"/>
        <v>227.86194367565705</v>
      </c>
      <c r="AE75" s="285">
        <f t="shared" si="104"/>
        <v>232.41918254917019</v>
      </c>
      <c r="AF75" s="285">
        <f t="shared" si="104"/>
        <v>237.06756620015361</v>
      </c>
      <c r="AG75" s="285">
        <f t="shared" si="104"/>
        <v>241.80891752415667</v>
      </c>
      <c r="AH75" s="285">
        <f t="shared" si="104"/>
        <v>246.64509587463979</v>
      </c>
      <c r="AI75" s="285">
        <f t="shared" si="58"/>
        <v>251.57799779213261</v>
      </c>
      <c r="AJ75" s="285">
        <f t="shared" si="59"/>
        <v>256.60955774797526</v>
      </c>
      <c r="AK75" s="12"/>
      <c r="AL75" s="12"/>
      <c r="AM75" s="12"/>
      <c r="AN75" s="12"/>
      <c r="AO75" s="12"/>
      <c r="AP75" s="12"/>
    </row>
    <row r="76" spans="1:42" x14ac:dyDescent="0.15">
      <c r="A76" s="683">
        <v>5001</v>
      </c>
      <c r="B76" s="493">
        <f t="shared" si="55"/>
        <v>0</v>
      </c>
      <c r="C76" s="636" t="s">
        <v>189</v>
      </c>
      <c r="D76" s="147">
        <f ca="1">OFFSET('IE SUMMARY'!D50,0,MoveCount)</f>
        <v>0</v>
      </c>
      <c r="E76" s="285">
        <v>0</v>
      </c>
      <c r="F76" s="347">
        <f t="shared" si="96"/>
        <v>0</v>
      </c>
      <c r="G76" s="285">
        <f t="shared" ref="G76:AH76" si="105">F76*(1+GlobalInflation)</f>
        <v>0</v>
      </c>
      <c r="H76" s="285">
        <f t="shared" si="105"/>
        <v>0</v>
      </c>
      <c r="I76" s="285">
        <f t="shared" si="105"/>
        <v>0</v>
      </c>
      <c r="J76" s="285">
        <f t="shared" si="105"/>
        <v>0</v>
      </c>
      <c r="K76" s="285">
        <f t="shared" si="105"/>
        <v>0</v>
      </c>
      <c r="L76" s="285">
        <f t="shared" si="105"/>
        <v>0</v>
      </c>
      <c r="M76" s="285">
        <f t="shared" si="105"/>
        <v>0</v>
      </c>
      <c r="N76" s="285">
        <f t="shared" si="105"/>
        <v>0</v>
      </c>
      <c r="O76" s="285">
        <f t="shared" si="105"/>
        <v>0</v>
      </c>
      <c r="P76" s="285">
        <f t="shared" si="105"/>
        <v>0</v>
      </c>
      <c r="Q76" s="285">
        <f t="shared" si="105"/>
        <v>0</v>
      </c>
      <c r="R76" s="285">
        <f t="shared" si="105"/>
        <v>0</v>
      </c>
      <c r="S76" s="285">
        <f t="shared" si="105"/>
        <v>0</v>
      </c>
      <c r="T76" s="285">
        <f t="shared" si="105"/>
        <v>0</v>
      </c>
      <c r="U76" s="285">
        <f t="shared" si="105"/>
        <v>0</v>
      </c>
      <c r="V76" s="285">
        <f t="shared" si="105"/>
        <v>0</v>
      </c>
      <c r="W76" s="285">
        <f t="shared" si="105"/>
        <v>0</v>
      </c>
      <c r="X76" s="285">
        <f t="shared" si="105"/>
        <v>0</v>
      </c>
      <c r="Y76" s="285">
        <f t="shared" si="105"/>
        <v>0</v>
      </c>
      <c r="Z76" s="285">
        <f t="shared" si="105"/>
        <v>0</v>
      </c>
      <c r="AA76" s="285">
        <f t="shared" si="105"/>
        <v>0</v>
      </c>
      <c r="AB76" s="285">
        <f t="shared" si="105"/>
        <v>0</v>
      </c>
      <c r="AC76" s="285">
        <f t="shared" si="105"/>
        <v>0</v>
      </c>
      <c r="AD76" s="285">
        <f t="shared" si="105"/>
        <v>0</v>
      </c>
      <c r="AE76" s="285">
        <f t="shared" si="105"/>
        <v>0</v>
      </c>
      <c r="AF76" s="285">
        <f t="shared" si="105"/>
        <v>0</v>
      </c>
      <c r="AG76" s="285">
        <f t="shared" si="105"/>
        <v>0</v>
      </c>
      <c r="AH76" s="285">
        <f t="shared" si="105"/>
        <v>0</v>
      </c>
      <c r="AI76" s="285">
        <f t="shared" si="58"/>
        <v>0</v>
      </c>
      <c r="AJ76" s="285">
        <f t="shared" si="59"/>
        <v>0</v>
      </c>
      <c r="AK76" s="12"/>
      <c r="AL76" s="12"/>
      <c r="AM76" s="12"/>
      <c r="AN76" s="12"/>
      <c r="AO76" s="12"/>
      <c r="AP76" s="12"/>
    </row>
    <row r="77" spans="1:42" x14ac:dyDescent="0.15">
      <c r="A77" s="683">
        <v>5061</v>
      </c>
      <c r="B77" s="493">
        <f t="shared" si="55"/>
        <v>8.8129496402877692</v>
      </c>
      <c r="C77" s="636" t="s">
        <v>190</v>
      </c>
      <c r="D77" s="147">
        <f ca="1">OFFSET('IE SUMMARY'!D51,0,MoveCount)</f>
        <v>0</v>
      </c>
      <c r="E77" s="285">
        <v>2450</v>
      </c>
      <c r="F77" s="347">
        <f>E77/12</f>
        <v>204.16666666666666</v>
      </c>
      <c r="G77" s="285">
        <f t="shared" ref="G77:AH77" si="106">F77*(1+GlobalInflation)</f>
        <v>208.25</v>
      </c>
      <c r="H77" s="285">
        <f t="shared" si="106"/>
        <v>212.41499999999999</v>
      </c>
      <c r="I77" s="285">
        <f t="shared" si="106"/>
        <v>216.66329999999999</v>
      </c>
      <c r="J77" s="285">
        <f t="shared" si="106"/>
        <v>220.996566</v>
      </c>
      <c r="K77" s="285">
        <f t="shared" si="106"/>
        <v>225.41649732000002</v>
      </c>
      <c r="L77" s="285">
        <f t="shared" si="106"/>
        <v>229.92482726640003</v>
      </c>
      <c r="M77" s="285">
        <f t="shared" si="106"/>
        <v>234.52332381172803</v>
      </c>
      <c r="N77" s="285">
        <f t="shared" si="106"/>
        <v>239.21379028796261</v>
      </c>
      <c r="O77" s="285">
        <f t="shared" si="106"/>
        <v>243.99806609372186</v>
      </c>
      <c r="P77" s="285">
        <f t="shared" si="106"/>
        <v>248.87802741559631</v>
      </c>
      <c r="Q77" s="285">
        <f t="shared" si="106"/>
        <v>253.85558796390825</v>
      </c>
      <c r="R77" s="285">
        <f t="shared" si="106"/>
        <v>258.93269972318643</v>
      </c>
      <c r="S77" s="285">
        <f t="shared" si="106"/>
        <v>264.11135371765016</v>
      </c>
      <c r="T77" s="285">
        <f t="shared" si="106"/>
        <v>269.39358079200315</v>
      </c>
      <c r="U77" s="285">
        <f t="shared" si="106"/>
        <v>274.78145240784323</v>
      </c>
      <c r="V77" s="285">
        <f t="shared" si="106"/>
        <v>280.27708145600008</v>
      </c>
      <c r="W77" s="285">
        <f t="shared" si="106"/>
        <v>285.88262308512009</v>
      </c>
      <c r="X77" s="285">
        <f t="shared" si="106"/>
        <v>291.6002755468225</v>
      </c>
      <c r="Y77" s="285">
        <f t="shared" si="106"/>
        <v>297.43228105775898</v>
      </c>
      <c r="Z77" s="285">
        <f t="shared" si="106"/>
        <v>303.38092667891419</v>
      </c>
      <c r="AA77" s="285">
        <f t="shared" si="106"/>
        <v>309.44854521249249</v>
      </c>
      <c r="AB77" s="285">
        <f t="shared" si="106"/>
        <v>315.63751611674235</v>
      </c>
      <c r="AC77" s="285">
        <f t="shared" si="106"/>
        <v>321.95026643907721</v>
      </c>
      <c r="AD77" s="285">
        <f t="shared" si="106"/>
        <v>328.38927176785876</v>
      </c>
      <c r="AE77" s="285">
        <f t="shared" si="106"/>
        <v>334.95705720321592</v>
      </c>
      <c r="AF77" s="285">
        <f t="shared" si="106"/>
        <v>341.65619834728022</v>
      </c>
      <c r="AG77" s="285">
        <f t="shared" si="106"/>
        <v>348.48932231422583</v>
      </c>
      <c r="AH77" s="285">
        <f t="shared" si="106"/>
        <v>355.45910876051033</v>
      </c>
      <c r="AI77" s="285">
        <f t="shared" si="58"/>
        <v>362.56829093572054</v>
      </c>
      <c r="AJ77" s="285">
        <f t="shared" si="59"/>
        <v>369.81965675443496</v>
      </c>
      <c r="AK77" s="12"/>
      <c r="AL77" s="12"/>
      <c r="AM77" s="12"/>
      <c r="AN77" s="12"/>
      <c r="AO77" s="12"/>
      <c r="AP77" s="12"/>
    </row>
    <row r="78" spans="1:42" x14ac:dyDescent="0.15">
      <c r="A78" s="683">
        <v>5304</v>
      </c>
      <c r="B78" s="493">
        <f t="shared" si="55"/>
        <v>4.8211510791366905</v>
      </c>
      <c r="C78" s="636" t="s">
        <v>191</v>
      </c>
      <c r="D78" s="147">
        <v>1314</v>
      </c>
      <c r="E78" s="285">
        <f>+D78*1.02</f>
        <v>1340.28</v>
      </c>
      <c r="F78" s="347">
        <f>E78/12</f>
        <v>111.69</v>
      </c>
      <c r="G78" s="285">
        <f t="shared" ref="G78:AH78" si="107">F78*(1+GlobalInflation)</f>
        <v>113.9238</v>
      </c>
      <c r="H78" s="285">
        <f t="shared" si="107"/>
        <v>116.202276</v>
      </c>
      <c r="I78" s="285">
        <f t="shared" si="107"/>
        <v>118.52632152</v>
      </c>
      <c r="J78" s="285">
        <f t="shared" si="107"/>
        <v>120.8968479504</v>
      </c>
      <c r="K78" s="285">
        <f t="shared" si="107"/>
        <v>123.314784909408</v>
      </c>
      <c r="L78" s="285">
        <f t="shared" si="107"/>
        <v>125.78108060759617</v>
      </c>
      <c r="M78" s="285">
        <f t="shared" si="107"/>
        <v>128.29670221974808</v>
      </c>
      <c r="N78" s="285">
        <f t="shared" si="107"/>
        <v>130.86263626414305</v>
      </c>
      <c r="O78" s="285">
        <f t="shared" si="107"/>
        <v>133.47988898942592</v>
      </c>
      <c r="P78" s="285">
        <f t="shared" si="107"/>
        <v>136.14948676921443</v>
      </c>
      <c r="Q78" s="285">
        <f t="shared" si="107"/>
        <v>138.87247650459872</v>
      </c>
      <c r="R78" s="285">
        <f t="shared" si="107"/>
        <v>141.64992603469071</v>
      </c>
      <c r="S78" s="285">
        <f t="shared" si="107"/>
        <v>144.48292455538453</v>
      </c>
      <c r="T78" s="285">
        <f t="shared" si="107"/>
        <v>147.37258304649222</v>
      </c>
      <c r="U78" s="285">
        <f t="shared" si="107"/>
        <v>150.32003470742208</v>
      </c>
      <c r="V78" s="285">
        <f t="shared" si="107"/>
        <v>153.32643540157054</v>
      </c>
      <c r="W78" s="285">
        <f t="shared" si="107"/>
        <v>156.39296410960196</v>
      </c>
      <c r="X78" s="285">
        <f t="shared" si="107"/>
        <v>159.52082339179401</v>
      </c>
      <c r="Y78" s="285">
        <f t="shared" si="107"/>
        <v>162.7112398596299</v>
      </c>
      <c r="Z78" s="285">
        <f t="shared" si="107"/>
        <v>165.96546465682249</v>
      </c>
      <c r="AA78" s="285">
        <f t="shared" si="107"/>
        <v>169.28477394995895</v>
      </c>
      <c r="AB78" s="285">
        <f t="shared" si="107"/>
        <v>172.67046942895814</v>
      </c>
      <c r="AC78" s="285">
        <f t="shared" si="107"/>
        <v>176.1238788175373</v>
      </c>
      <c r="AD78" s="285">
        <f t="shared" si="107"/>
        <v>179.64635639388806</v>
      </c>
      <c r="AE78" s="285">
        <f t="shared" si="107"/>
        <v>183.23928352176583</v>
      </c>
      <c r="AF78" s="285">
        <f t="shared" si="107"/>
        <v>186.90406919220115</v>
      </c>
      <c r="AG78" s="285">
        <f t="shared" si="107"/>
        <v>190.64215057604517</v>
      </c>
      <c r="AH78" s="285">
        <f t="shared" si="107"/>
        <v>194.45499358756607</v>
      </c>
      <c r="AI78" s="285">
        <f t="shared" si="58"/>
        <v>198.34409345931738</v>
      </c>
      <c r="AJ78" s="285">
        <f t="shared" si="59"/>
        <v>202.31097532850373</v>
      </c>
      <c r="AK78" s="12"/>
      <c r="AL78" s="12"/>
      <c r="AM78" s="12"/>
      <c r="AN78" s="12"/>
      <c r="AO78" s="12"/>
      <c r="AP78" s="12"/>
    </row>
    <row r="79" spans="1:42" x14ac:dyDescent="0.15">
      <c r="A79" s="683">
        <v>5064</v>
      </c>
      <c r="B79" s="493">
        <f t="shared" si="55"/>
        <v>1.079136690647482</v>
      </c>
      <c r="C79" s="636" t="s">
        <v>192</v>
      </c>
      <c r="D79" s="147">
        <f ca="1">OFFSET('IE SUMMARY'!D53,0,MoveCount)</f>
        <v>0</v>
      </c>
      <c r="E79" s="285">
        <v>300</v>
      </c>
      <c r="F79" s="347">
        <f>E79/12</f>
        <v>25</v>
      </c>
      <c r="G79" s="285">
        <f t="shared" ref="G79:AH79" si="108">F79*(1+GlobalInflation)</f>
        <v>25.5</v>
      </c>
      <c r="H79" s="285">
        <f t="shared" si="108"/>
        <v>26.01</v>
      </c>
      <c r="I79" s="285">
        <f t="shared" si="108"/>
        <v>26.530200000000001</v>
      </c>
      <c r="J79" s="285">
        <f t="shared" si="108"/>
        <v>27.060804000000001</v>
      </c>
      <c r="K79" s="285">
        <f t="shared" si="108"/>
        <v>27.602020080000003</v>
      </c>
      <c r="L79" s="285">
        <f t="shared" si="108"/>
        <v>28.154060481600002</v>
      </c>
      <c r="M79" s="285">
        <f t="shared" si="108"/>
        <v>28.717141691232001</v>
      </c>
      <c r="N79" s="285">
        <f t="shared" si="108"/>
        <v>29.291484525056642</v>
      </c>
      <c r="O79" s="285">
        <f t="shared" si="108"/>
        <v>29.877314215557774</v>
      </c>
      <c r="P79" s="285">
        <f t="shared" si="108"/>
        <v>30.474860499868932</v>
      </c>
      <c r="Q79" s="285">
        <f t="shared" si="108"/>
        <v>31.08435770986631</v>
      </c>
      <c r="R79" s="285">
        <f t="shared" si="108"/>
        <v>31.706044864063639</v>
      </c>
      <c r="S79" s="285">
        <f t="shared" si="108"/>
        <v>32.340165761344913</v>
      </c>
      <c r="T79" s="285">
        <f t="shared" si="108"/>
        <v>32.98696907657181</v>
      </c>
      <c r="U79" s="285">
        <f t="shared" si="108"/>
        <v>33.646708458103248</v>
      </c>
      <c r="V79" s="285">
        <f t="shared" si="108"/>
        <v>34.319642627265317</v>
      </c>
      <c r="W79" s="285">
        <f t="shared" si="108"/>
        <v>35.006035479810627</v>
      </c>
      <c r="X79" s="285">
        <f t="shared" si="108"/>
        <v>35.70615618940684</v>
      </c>
      <c r="Y79" s="285">
        <f t="shared" si="108"/>
        <v>36.420279313194975</v>
      </c>
      <c r="Z79" s="285">
        <f t="shared" si="108"/>
        <v>37.148684899458878</v>
      </c>
      <c r="AA79" s="285">
        <f t="shared" si="108"/>
        <v>37.891658597448057</v>
      </c>
      <c r="AB79" s="285">
        <f t="shared" si="108"/>
        <v>38.649491769397017</v>
      </c>
      <c r="AC79" s="285">
        <f t="shared" si="108"/>
        <v>39.422481604784956</v>
      </c>
      <c r="AD79" s="285">
        <f t="shared" si="108"/>
        <v>40.210931236880654</v>
      </c>
      <c r="AE79" s="285">
        <f t="shared" si="108"/>
        <v>41.015149861618269</v>
      </c>
      <c r="AF79" s="285">
        <f t="shared" si="108"/>
        <v>41.835452858850637</v>
      </c>
      <c r="AG79" s="285">
        <f t="shared" si="108"/>
        <v>42.672161916027648</v>
      </c>
      <c r="AH79" s="285">
        <f t="shared" si="108"/>
        <v>43.525605154348199</v>
      </c>
      <c r="AI79" s="285">
        <f t="shared" si="58"/>
        <v>44.396117257435165</v>
      </c>
      <c r="AJ79" s="285">
        <f t="shared" si="59"/>
        <v>45.284039602583867</v>
      </c>
      <c r="AK79" s="12"/>
      <c r="AL79" s="12"/>
      <c r="AM79" s="12"/>
      <c r="AN79" s="12"/>
      <c r="AO79" s="12"/>
      <c r="AP79" s="12"/>
    </row>
    <row r="80" spans="1:42" x14ac:dyDescent="0.15">
      <c r="A80" s="683">
        <v>5601</v>
      </c>
      <c r="B80" s="493">
        <f t="shared" si="55"/>
        <v>3.5971223021582732</v>
      </c>
      <c r="C80" s="636" t="s">
        <v>193</v>
      </c>
      <c r="D80" s="147">
        <v>6682</v>
      </c>
      <c r="E80" s="285">
        <v>1000</v>
      </c>
      <c r="F80" s="347">
        <f>E80/12</f>
        <v>83.333333333333329</v>
      </c>
      <c r="G80" s="285">
        <f t="shared" ref="G80:AH80" si="109">F80*(1+GlobalInflation)</f>
        <v>85</v>
      </c>
      <c r="H80" s="285">
        <f t="shared" si="109"/>
        <v>86.7</v>
      </c>
      <c r="I80" s="285">
        <f t="shared" si="109"/>
        <v>88.433999999999997</v>
      </c>
      <c r="J80" s="285">
        <f t="shared" si="109"/>
        <v>90.202680000000001</v>
      </c>
      <c r="K80" s="285">
        <f t="shared" si="109"/>
        <v>92.006733600000004</v>
      </c>
      <c r="L80" s="285">
        <f t="shared" si="109"/>
        <v>93.846868272000009</v>
      </c>
      <c r="M80" s="285">
        <f t="shared" si="109"/>
        <v>95.723805637440009</v>
      </c>
      <c r="N80" s="285">
        <f t="shared" si="109"/>
        <v>97.63828175018881</v>
      </c>
      <c r="O80" s="285">
        <f t="shared" si="109"/>
        <v>99.591047385192581</v>
      </c>
      <c r="P80" s="285">
        <f t="shared" si="109"/>
        <v>101.58286833289644</v>
      </c>
      <c r="Q80" s="285">
        <f t="shared" si="109"/>
        <v>103.61452569955436</v>
      </c>
      <c r="R80" s="285">
        <f t="shared" si="109"/>
        <v>105.68681621354546</v>
      </c>
      <c r="S80" s="285">
        <f t="shared" si="109"/>
        <v>107.80055253781637</v>
      </c>
      <c r="T80" s="285">
        <f t="shared" si="109"/>
        <v>109.95656358857271</v>
      </c>
      <c r="U80" s="285">
        <f t="shared" si="109"/>
        <v>112.15569486034416</v>
      </c>
      <c r="V80" s="285">
        <f t="shared" si="109"/>
        <v>114.39880875755104</v>
      </c>
      <c r="W80" s="285">
        <f t="shared" si="109"/>
        <v>116.68678493270205</v>
      </c>
      <c r="X80" s="285">
        <f t="shared" si="109"/>
        <v>119.02052063135609</v>
      </c>
      <c r="Y80" s="285">
        <f t="shared" si="109"/>
        <v>121.40093104398322</v>
      </c>
      <c r="Z80" s="285">
        <f t="shared" si="109"/>
        <v>123.82894966486289</v>
      </c>
      <c r="AA80" s="285">
        <f t="shared" si="109"/>
        <v>126.30552865816016</v>
      </c>
      <c r="AB80" s="285">
        <f t="shared" si="109"/>
        <v>128.83163923132335</v>
      </c>
      <c r="AC80" s="285">
        <f t="shared" si="109"/>
        <v>131.40827201594982</v>
      </c>
      <c r="AD80" s="285">
        <f t="shared" si="109"/>
        <v>134.03643745626883</v>
      </c>
      <c r="AE80" s="285">
        <f t="shared" si="109"/>
        <v>136.71716620539422</v>
      </c>
      <c r="AF80" s="285">
        <f t="shared" si="109"/>
        <v>139.45150952950212</v>
      </c>
      <c r="AG80" s="285">
        <f t="shared" si="109"/>
        <v>142.24053972009216</v>
      </c>
      <c r="AH80" s="285">
        <f t="shared" si="109"/>
        <v>145.085350514494</v>
      </c>
      <c r="AI80" s="285">
        <f t="shared" si="58"/>
        <v>147.98705752478386</v>
      </c>
      <c r="AJ80" s="285">
        <f t="shared" si="59"/>
        <v>150.94679867527955</v>
      </c>
      <c r="AK80" s="12"/>
      <c r="AL80" s="12"/>
      <c r="AM80" s="12"/>
      <c r="AN80" s="12"/>
      <c r="AO80" s="12"/>
      <c r="AP80" s="12"/>
    </row>
    <row r="81" spans="1:78" x14ac:dyDescent="0.15">
      <c r="A81" s="683">
        <v>5000</v>
      </c>
      <c r="B81" s="493">
        <f t="shared" si="55"/>
        <v>81.725417266187051</v>
      </c>
      <c r="C81" s="636" t="str">
        <f>"Professional Mgmt ("&amp;TEXT(MgmtFeeLimit,"$0,0")&amp;"/mo or "&amp;TEXT(MgmtFee,"0.0%"&amp;")")</f>
        <v>Professional Mgmt ($1,750/mo or 5.0%)</v>
      </c>
      <c r="D81" s="147">
        <v>17908</v>
      </c>
      <c r="E81" s="285">
        <f>F81*12</f>
        <v>22719.666000000001</v>
      </c>
      <c r="F81" s="348">
        <f t="shared" ref="F81:AH81" si="110">IF(F55*MgmtFee&gt;MgmtFeeLimit,F55*MgmtFee,MgmtFeeLimit)</f>
        <v>1893.3055000000002</v>
      </c>
      <c r="G81" s="285">
        <f t="shared" si="110"/>
        <v>2398.3212500000004</v>
      </c>
      <c r="H81" s="285">
        <f t="shared" si="110"/>
        <v>2973.4605650000003</v>
      </c>
      <c r="I81" s="285">
        <f t="shared" si="110"/>
        <v>3576.9759163000003</v>
      </c>
      <c r="J81" s="285">
        <f t="shared" si="110"/>
        <v>4180.9198246260003</v>
      </c>
      <c r="K81" s="285">
        <f t="shared" si="110"/>
        <v>4341.4690811185201</v>
      </c>
      <c r="L81" s="285">
        <f t="shared" si="110"/>
        <v>4508.3065571408906</v>
      </c>
      <c r="M81" s="285">
        <f t="shared" si="110"/>
        <v>4681.6811064597077</v>
      </c>
      <c r="N81" s="285">
        <f t="shared" si="110"/>
        <v>4861.8514834919433</v>
      </c>
      <c r="O81" s="285">
        <f t="shared" si="110"/>
        <v>5049.0867382609431</v>
      </c>
      <c r="P81" s="285">
        <f t="shared" si="110"/>
        <v>5243.6666271292906</v>
      </c>
      <c r="Q81" s="285">
        <f t="shared" si="110"/>
        <v>5445.8820399391298</v>
      </c>
      <c r="R81" s="285">
        <f t="shared" si="110"/>
        <v>5656.0354442158568</v>
      </c>
      <c r="S81" s="285">
        <f t="shared" si="110"/>
        <v>5874.4413471172347</v>
      </c>
      <c r="T81" s="285">
        <f t="shared" si="110"/>
        <v>6101.4267758373226</v>
      </c>
      <c r="U81" s="285">
        <f t="shared" si="110"/>
        <v>6337.3317772029222</v>
      </c>
      <c r="V81" s="285">
        <f t="shared" si="110"/>
        <v>6582.5099372297882</v>
      </c>
      <c r="W81" s="285">
        <f t="shared" si="110"/>
        <v>6837.3289214365032</v>
      </c>
      <c r="X81" s="285">
        <f t="shared" si="110"/>
        <v>7102.17103674584</v>
      </c>
      <c r="Y81" s="285">
        <f t="shared" si="110"/>
        <v>7377.4338158365854</v>
      </c>
      <c r="Z81" s="285">
        <f t="shared" si="110"/>
        <v>7663.5306248433772</v>
      </c>
      <c r="AA81" s="285">
        <f t="shared" si="110"/>
        <v>7960.8912953379086</v>
      </c>
      <c r="AB81" s="285">
        <f t="shared" si="110"/>
        <v>8269.9627815622389</v>
      </c>
      <c r="AC81" s="285">
        <f t="shared" si="110"/>
        <v>8591.2098439237579</v>
      </c>
      <c r="AD81" s="285">
        <f t="shared" si="110"/>
        <v>8925.1157598017162</v>
      </c>
      <c r="AE81" s="285">
        <f t="shared" si="110"/>
        <v>9272.1830627572162</v>
      </c>
      <c r="AF81" s="285">
        <f t="shared" si="110"/>
        <v>9632.9343112822025</v>
      </c>
      <c r="AG81" s="285">
        <f t="shared" si="110"/>
        <v>10007.912888268484</v>
      </c>
      <c r="AH81" s="285">
        <f t="shared" si="110"/>
        <v>10397.683832424915</v>
      </c>
      <c r="AI81" s="285">
        <f t="shared" ref="AI81:AJ81" si="111">IF(AI55*MgmtFee&gt;MgmtFeeLimit,AI55*MgmtFee,MgmtFeeLimit)</f>
        <v>10802.834702920121</v>
      </c>
      <c r="AJ81" s="285">
        <f t="shared" si="111"/>
        <v>11223.976478579094</v>
      </c>
      <c r="AK81" s="12"/>
      <c r="AL81" s="12"/>
      <c r="AM81" s="12"/>
      <c r="AN81" s="12"/>
      <c r="AO81" s="12"/>
      <c r="AP81" s="12"/>
      <c r="AQ81" s="633"/>
      <c r="AR81" s="633"/>
      <c r="AS81" s="633"/>
      <c r="AT81" s="633"/>
      <c r="AU81" s="633"/>
      <c r="AV81" s="633"/>
      <c r="AW81" s="633"/>
      <c r="AX81" s="633"/>
      <c r="AY81" s="633"/>
      <c r="AZ81" s="633"/>
      <c r="BA81" s="633"/>
      <c r="BB81" s="633"/>
      <c r="BC81" s="633"/>
      <c r="BD81" s="633"/>
      <c r="BE81" s="633"/>
      <c r="BF81" s="633"/>
      <c r="BG81" s="633"/>
      <c r="BH81" s="633"/>
      <c r="BI81" s="633"/>
      <c r="BJ81" s="633"/>
      <c r="BK81" s="633"/>
      <c r="BL81" s="633"/>
      <c r="BM81" s="633"/>
      <c r="BN81" s="633"/>
      <c r="BO81" s="633"/>
      <c r="BP81" s="633"/>
      <c r="BQ81" s="633"/>
      <c r="BR81" s="633"/>
      <c r="BS81" s="633"/>
      <c r="BT81" s="633"/>
      <c r="BU81" s="633"/>
      <c r="BV81" s="633"/>
      <c r="BW81" s="633"/>
      <c r="BX81" s="633"/>
      <c r="BY81" s="633"/>
      <c r="BZ81" s="633"/>
    </row>
    <row r="82" spans="1:78" ht="14" thickBot="1" x14ac:dyDescent="0.2">
      <c r="A82" s="633"/>
      <c r="B82" s="762">
        <f t="shared" ca="1" si="55"/>
        <v>90.454531175059955</v>
      </c>
      <c r="C82" s="755" t="s">
        <v>194</v>
      </c>
      <c r="D82" s="756">
        <f ca="1">SUM(D58:D81)/12</f>
        <v>16051.416666666666</v>
      </c>
      <c r="E82" s="757">
        <f ca="1">F82</f>
        <v>25146.359666666667</v>
      </c>
      <c r="F82" s="764">
        <f t="shared" ref="F82:AH82" ca="1" si="112">SUM(F58:F81)</f>
        <v>25146.359666666667</v>
      </c>
      <c r="G82" s="764">
        <f t="shared" ca="1" si="112"/>
        <v>26116.436500000003</v>
      </c>
      <c r="H82" s="764">
        <f t="shared" ca="1" si="112"/>
        <v>27165.938120000003</v>
      </c>
      <c r="I82" s="764">
        <f t="shared" ca="1" si="112"/>
        <v>28253.303022400007</v>
      </c>
      <c r="J82" s="764">
        <f t="shared" ca="1" si="112"/>
        <v>29350.773472848006</v>
      </c>
      <c r="K82" s="764">
        <f t="shared" ca="1" si="112"/>
        <v>30014.719802304964</v>
      </c>
      <c r="L82" s="764">
        <f t="shared" ca="1" si="112"/>
        <v>30695.022292751062</v>
      </c>
      <c r="M82" s="764">
        <f t="shared" ca="1" si="112"/>
        <v>31392.131156782081</v>
      </c>
      <c r="N82" s="764">
        <f t="shared" ca="1" si="112"/>
        <v>32106.510534820765</v>
      </c>
      <c r="O82" s="764">
        <f t="shared" ca="1" si="112"/>
        <v>32838.638970616346</v>
      </c>
      <c r="P82" s="764">
        <f t="shared" ca="1" si="112"/>
        <v>33589.009904131795</v>
      </c>
      <c r="Q82" s="764">
        <f t="shared" ca="1" si="112"/>
        <v>34358.132182481684</v>
      </c>
      <c r="R82" s="764">
        <f t="shared" ca="1" si="112"/>
        <v>35146.530589609261</v>
      </c>
      <c r="S82" s="764">
        <f t="shared" ca="1" si="112"/>
        <v>35954.746395418515</v>
      </c>
      <c r="T82" s="764">
        <f t="shared" ca="1" si="112"/>
        <v>36783.337925104621</v>
      </c>
      <c r="U82" s="764">
        <f t="shared" ca="1" si="112"/>
        <v>37632.88114945557</v>
      </c>
      <c r="V82" s="764">
        <f t="shared" ca="1" si="112"/>
        <v>38503.970296927495</v>
      </c>
      <c r="W82" s="764">
        <f t="shared" ca="1" si="112"/>
        <v>39397.218488328173</v>
      </c>
      <c r="X82" s="764">
        <f t="shared" ca="1" si="112"/>
        <v>40313.258394975332</v>
      </c>
      <c r="Y82" s="764">
        <f t="shared" ca="1" si="112"/>
        <v>41252.742921230667</v>
      </c>
      <c r="Z82" s="764">
        <f t="shared" ca="1" si="112"/>
        <v>42216.345912345358</v>
      </c>
      <c r="AA82" s="764">
        <f t="shared" ca="1" si="112"/>
        <v>43204.762888589918</v>
      </c>
      <c r="AB82" s="764">
        <f t="shared" ca="1" si="112"/>
        <v>44218.71180667929</v>
      </c>
      <c r="AC82" s="764">
        <f t="shared" ca="1" si="112"/>
        <v>45258.933849543151</v>
      </c>
      <c r="AD82" s="764">
        <f t="shared" ca="1" si="112"/>
        <v>46326.194245533501</v>
      </c>
      <c r="AE82" s="764">
        <f t="shared" ca="1" si="112"/>
        <v>47421.283118203632</v>
      </c>
      <c r="AF82" s="764">
        <f t="shared" ca="1" si="112"/>
        <v>48545.016367837539</v>
      </c>
      <c r="AG82" s="764">
        <f t="shared" ca="1" si="112"/>
        <v>49698.236585954939</v>
      </c>
      <c r="AH82" s="764">
        <f t="shared" ca="1" si="112"/>
        <v>50881.814004065105</v>
      </c>
      <c r="AI82" s="764">
        <f t="shared" ref="AI82:AJ82" ca="1" si="113">SUM(AI58:AI81)</f>
        <v>52096.647477993101</v>
      </c>
      <c r="AJ82" s="764">
        <f t="shared" ca="1" si="113"/>
        <v>53343.66550915355</v>
      </c>
      <c r="AK82" s="633"/>
      <c r="AL82" s="633"/>
      <c r="AM82" s="633"/>
      <c r="AN82" s="633"/>
      <c r="AO82" s="633"/>
      <c r="AP82" s="633"/>
      <c r="AQ82" s="633"/>
      <c r="AR82" s="633"/>
      <c r="AS82" s="633"/>
      <c r="AT82" s="633"/>
      <c r="AU82" s="633"/>
      <c r="AV82" s="633"/>
      <c r="AW82" s="633"/>
      <c r="AX82" s="633"/>
      <c r="AY82" s="633"/>
      <c r="AZ82" s="633"/>
      <c r="BA82" s="633"/>
      <c r="BB82" s="633"/>
      <c r="BC82" s="633"/>
      <c r="BD82" s="633"/>
      <c r="BE82" s="633"/>
      <c r="BF82" s="633"/>
      <c r="BG82" s="633"/>
      <c r="BH82" s="633"/>
      <c r="BI82" s="633"/>
      <c r="BJ82" s="633"/>
      <c r="BK82" s="633"/>
      <c r="BL82" s="633"/>
      <c r="BM82" s="633"/>
      <c r="BN82" s="633"/>
      <c r="BO82" s="633"/>
      <c r="BP82" s="633"/>
      <c r="BQ82" s="633"/>
      <c r="BR82" s="633"/>
      <c r="BS82" s="633"/>
      <c r="BT82" s="633"/>
      <c r="BU82" s="633"/>
      <c r="BV82" s="633"/>
      <c r="BW82" s="633"/>
      <c r="BX82" s="633"/>
      <c r="BY82" s="633"/>
      <c r="BZ82" s="633"/>
    </row>
    <row r="83" spans="1:78" ht="14" thickTop="1" x14ac:dyDescent="0.15">
      <c r="A83" s="633"/>
      <c r="C83" s="14"/>
      <c r="D83" s="296" t="str">
        <f ca="1">TEXT(SUM(D58:D81),"0,0")&amp;"  ("&amp;TEXT((SUM(D58:D81)/D54),"0%")&amp;")"</f>
        <v>192,617  (46%)</v>
      </c>
      <c r="E83" s="346">
        <f ca="1">E82*12</f>
        <v>301756.31599999999</v>
      </c>
      <c r="F83" s="307" t="str">
        <f t="shared" ref="F83:K83" ca="1" si="114">"Ratio= "&amp;TEXT(F82/F55,"0%")</f>
        <v>Ratio= 66%</v>
      </c>
      <c r="G83" s="307" t="str">
        <f t="shared" ca="1" si="114"/>
        <v>Ratio= 54%</v>
      </c>
      <c r="H83" s="307" t="str">
        <f t="shared" ca="1" si="114"/>
        <v>Ratio= 46%</v>
      </c>
      <c r="I83" s="307" t="str">
        <f t="shared" ca="1" si="114"/>
        <v>Ratio= 39%</v>
      </c>
      <c r="J83" s="307" t="str">
        <f t="shared" ca="1" si="114"/>
        <v>Ratio= 35%</v>
      </c>
      <c r="K83" s="307" t="str">
        <f t="shared" ca="1" si="114"/>
        <v>Ratio= 35%</v>
      </c>
      <c r="L83" s="349"/>
      <c r="M83" s="633"/>
      <c r="N83" s="633"/>
      <c r="O83" s="633"/>
      <c r="P83" s="633"/>
      <c r="Q83" s="633"/>
      <c r="R83" s="633"/>
      <c r="S83" s="633"/>
      <c r="T83" s="633"/>
      <c r="U83" s="633"/>
      <c r="V83" s="633"/>
      <c r="W83" s="633"/>
      <c r="X83" s="633"/>
      <c r="Y83" s="633"/>
      <c r="Z83" s="633"/>
      <c r="AA83" s="633"/>
      <c r="AB83" s="633"/>
      <c r="AC83" s="633"/>
      <c r="AD83" s="633"/>
      <c r="AE83" s="633"/>
      <c r="AF83" s="633"/>
      <c r="AG83" s="633"/>
      <c r="AH83" s="633"/>
      <c r="AI83" s="633"/>
      <c r="AJ83" s="633"/>
      <c r="AK83" s="633"/>
      <c r="AL83" s="633"/>
      <c r="AM83" s="633"/>
      <c r="AN83" s="633"/>
      <c r="AO83" s="633"/>
      <c r="AP83" s="633"/>
      <c r="AQ83" s="633"/>
      <c r="AR83" s="633"/>
      <c r="AS83" s="633"/>
      <c r="AT83" s="633"/>
      <c r="AU83" s="633"/>
      <c r="AV83" s="633"/>
      <c r="AW83" s="633"/>
      <c r="AX83" s="633"/>
      <c r="AY83" s="633"/>
      <c r="AZ83" s="633"/>
      <c r="BA83" s="633"/>
      <c r="BB83" s="633"/>
      <c r="BC83" s="633"/>
      <c r="BD83" s="633"/>
      <c r="BE83" s="633"/>
      <c r="BF83" s="633"/>
      <c r="BG83" s="633"/>
      <c r="BH83" s="633"/>
      <c r="BI83" s="633"/>
      <c r="BJ83" s="633"/>
      <c r="BK83" s="633"/>
      <c r="BL83" s="633"/>
      <c r="BM83" s="633"/>
      <c r="BN83" s="633"/>
      <c r="BO83" s="633"/>
      <c r="BP83" s="633"/>
      <c r="BQ83" s="633"/>
      <c r="BR83" s="633"/>
      <c r="BS83" s="633"/>
      <c r="BT83" s="633"/>
      <c r="BU83" s="633"/>
      <c r="BV83" s="633"/>
      <c r="BW83" s="633"/>
      <c r="BX83" s="633"/>
      <c r="BY83" s="633"/>
      <c r="BZ83" s="633"/>
    </row>
    <row r="84" spans="1:78" ht="6.75" customHeight="1" x14ac:dyDescent="0.15">
      <c r="A84" s="633"/>
      <c r="C84" s="14"/>
      <c r="D84" s="152"/>
      <c r="E84" s="344"/>
      <c r="F84" s="350"/>
      <c r="G84" s="350"/>
      <c r="H84" s="350"/>
      <c r="I84" s="350"/>
      <c r="J84" s="350"/>
      <c r="K84" s="633"/>
      <c r="L84" s="349"/>
      <c r="M84" s="633"/>
      <c r="N84" s="633"/>
      <c r="O84" s="633"/>
      <c r="P84" s="633"/>
      <c r="Q84" s="633"/>
      <c r="R84" s="633"/>
      <c r="S84" s="633"/>
      <c r="T84" s="633"/>
      <c r="U84" s="633"/>
      <c r="V84" s="633"/>
      <c r="W84" s="633"/>
      <c r="X84" s="633"/>
      <c r="Y84" s="633"/>
      <c r="Z84" s="633"/>
      <c r="AA84" s="633"/>
      <c r="AB84" s="633"/>
      <c r="AC84" s="633"/>
      <c r="AD84" s="633"/>
      <c r="AE84" s="633"/>
      <c r="AF84" s="633"/>
      <c r="AG84" s="633"/>
      <c r="AH84" s="633"/>
      <c r="AI84" s="633"/>
      <c r="AJ84" s="633"/>
      <c r="AK84" s="633"/>
      <c r="AL84" s="633"/>
      <c r="AM84" s="633"/>
      <c r="AN84" s="633"/>
      <c r="AO84" s="633"/>
      <c r="AP84" s="633"/>
      <c r="AQ84" s="633"/>
      <c r="AR84" s="633"/>
      <c r="AS84" s="633"/>
      <c r="AT84" s="633"/>
      <c r="AU84" s="633"/>
      <c r="AV84" s="633"/>
      <c r="AW84" s="633"/>
      <c r="AX84" s="633"/>
      <c r="AY84" s="633"/>
      <c r="AZ84" s="633"/>
      <c r="BA84" s="633"/>
      <c r="BB84" s="633"/>
      <c r="BC84" s="633"/>
      <c r="BD84" s="633"/>
      <c r="BE84" s="633"/>
      <c r="BF84" s="633"/>
      <c r="BG84" s="633"/>
      <c r="BH84" s="633"/>
      <c r="BI84" s="633"/>
      <c r="BJ84" s="633"/>
      <c r="BK84" s="633"/>
      <c r="BL84" s="633"/>
      <c r="BM84" s="633"/>
      <c r="BN84" s="633"/>
      <c r="BO84" s="633"/>
      <c r="BP84" s="633"/>
      <c r="BQ84" s="633"/>
      <c r="BR84" s="633"/>
      <c r="BS84" s="633"/>
      <c r="BT84" s="633"/>
      <c r="BU84" s="633"/>
      <c r="BV84" s="633"/>
      <c r="BW84" s="633"/>
      <c r="BX84" s="633"/>
      <c r="BY84" s="633"/>
      <c r="BZ84" s="633"/>
    </row>
    <row r="85" spans="1:78" x14ac:dyDescent="0.15">
      <c r="A85" s="633"/>
      <c r="C85" s="11" t="s">
        <v>195</v>
      </c>
      <c r="D85" s="146">
        <f ca="1">(D55)-D82</f>
        <v>18709.693333333336</v>
      </c>
      <c r="E85" s="344">
        <f t="shared" ref="E85:AH85" ca="1" si="115">E55-E82</f>
        <v>12719.750333333333</v>
      </c>
      <c r="F85" s="285">
        <f t="shared" ca="1" si="115"/>
        <v>12719.750333333333</v>
      </c>
      <c r="G85" s="285">
        <f t="shared" ca="1" si="115"/>
        <v>21849.988499999999</v>
      </c>
      <c r="H85" s="285">
        <f t="shared" ca="1" si="115"/>
        <v>32303.27318</v>
      </c>
      <c r="I85" s="285">
        <f t="shared" ca="1" si="115"/>
        <v>43286.215303599995</v>
      </c>
      <c r="J85" s="285">
        <f t="shared" ca="1" si="115"/>
        <v>54267.623019671992</v>
      </c>
      <c r="K85" s="285">
        <f t="shared" ca="1" si="115"/>
        <v>56814.661820065441</v>
      </c>
      <c r="L85" s="285">
        <f t="shared" ca="1" si="115"/>
        <v>59471.108850066754</v>
      </c>
      <c r="M85" s="285">
        <f t="shared" ca="1" si="115"/>
        <v>62241.490972412066</v>
      </c>
      <c r="N85" s="285">
        <f t="shared" ca="1" si="115"/>
        <v>65130.51913501809</v>
      </c>
      <c r="O85" s="285">
        <f t="shared" ca="1" si="115"/>
        <v>68143.095794602516</v>
      </c>
      <c r="P85" s="285">
        <f t="shared" ca="1" si="115"/>
        <v>71284.322638454003</v>
      </c>
      <c r="Q85" s="285">
        <f t="shared" ca="1" si="115"/>
        <v>74559.508616300896</v>
      </c>
      <c r="R85" s="285">
        <f t="shared" ca="1" si="115"/>
        <v>77974.178294707875</v>
      </c>
      <c r="S85" s="285">
        <f t="shared" ca="1" si="115"/>
        <v>81534.080546926183</v>
      </c>
      <c r="T85" s="285">
        <f t="shared" ca="1" si="115"/>
        <v>85245.197591641831</v>
      </c>
      <c r="U85" s="285">
        <f t="shared" ca="1" si="115"/>
        <v>89113.75439460286</v>
      </c>
      <c r="V85" s="285">
        <f t="shared" ca="1" si="115"/>
        <v>93146.228447668254</v>
      </c>
      <c r="W85" s="285">
        <f t="shared" ca="1" si="115"/>
        <v>97349.359940401875</v>
      </c>
      <c r="X85" s="285">
        <f t="shared" ca="1" si="115"/>
        <v>101730.16233994145</v>
      </c>
      <c r="Y85" s="285">
        <f t="shared" ca="1" si="115"/>
        <v>106295.93339550102</v>
      </c>
      <c r="Z85" s="285">
        <f t="shared" ca="1" si="115"/>
        <v>111054.26658452218</v>
      </c>
      <c r="AA85" s="285">
        <f t="shared" ca="1" si="115"/>
        <v>116013.06301816825</v>
      </c>
      <c r="AB85" s="285">
        <f t="shared" ca="1" si="115"/>
        <v>121180.54382456548</v>
      </c>
      <c r="AC85" s="285">
        <f t="shared" ca="1" si="115"/>
        <v>126565.26302893201</v>
      </c>
      <c r="AD85" s="285">
        <f t="shared" ca="1" si="115"/>
        <v>132176.12095050083</v>
      </c>
      <c r="AE85" s="285">
        <f t="shared" ca="1" si="115"/>
        <v>138022.37813694068</v>
      </c>
      <c r="AF85" s="285">
        <f t="shared" ca="1" si="115"/>
        <v>144113.66985780653</v>
      </c>
      <c r="AG85" s="285">
        <f t="shared" ca="1" si="115"/>
        <v>150460.02117941473</v>
      </c>
      <c r="AH85" s="285">
        <f t="shared" ca="1" si="115"/>
        <v>157071.86264443316</v>
      </c>
      <c r="AI85" s="285">
        <f t="shared" ref="AI85:AJ85" ca="1" si="116">AI55-AI82</f>
        <v>163960.04658040931</v>
      </c>
      <c r="AJ85" s="285">
        <f t="shared" ca="1" si="116"/>
        <v>171135.8640624283</v>
      </c>
      <c r="AK85" s="689"/>
      <c r="AL85" s="689"/>
      <c r="AM85" s="689"/>
      <c r="AN85" s="689"/>
      <c r="AO85" s="689"/>
      <c r="AP85" s="689"/>
      <c r="AQ85" s="689"/>
      <c r="AR85" s="689"/>
      <c r="AS85" s="689"/>
      <c r="AT85" s="689"/>
      <c r="AU85" s="689"/>
      <c r="AV85" s="689"/>
      <c r="AW85" s="689"/>
      <c r="AX85" s="689"/>
      <c r="AY85" s="689"/>
      <c r="AZ85" s="689"/>
      <c r="BA85" s="689"/>
      <c r="BB85" s="689"/>
      <c r="BC85" s="689"/>
      <c r="BD85" s="689"/>
      <c r="BE85" s="689"/>
      <c r="BF85" s="689"/>
      <c r="BG85" s="689"/>
      <c r="BH85" s="689"/>
      <c r="BI85" s="689"/>
      <c r="BJ85" s="689"/>
      <c r="BK85" s="689"/>
      <c r="BL85" s="689"/>
      <c r="BM85" s="689"/>
      <c r="BN85" s="689"/>
      <c r="BO85" s="689"/>
      <c r="BP85" s="689"/>
      <c r="BQ85" s="689"/>
      <c r="BR85" s="689"/>
      <c r="BS85" s="689"/>
      <c r="BT85" s="689"/>
      <c r="BU85" s="689"/>
      <c r="BV85" s="689"/>
      <c r="BW85" s="689"/>
      <c r="BX85" s="689"/>
      <c r="BY85" s="689"/>
      <c r="BZ85" s="689"/>
    </row>
    <row r="86" spans="1:78" ht="4.5" customHeight="1" x14ac:dyDescent="0.15">
      <c r="A86" s="633"/>
      <c r="C86" s="633"/>
      <c r="D86" s="146"/>
      <c r="E86" s="351"/>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285"/>
      <c r="AF86" s="285"/>
      <c r="AG86" s="285"/>
      <c r="AH86" s="285"/>
      <c r="AI86" s="285"/>
      <c r="AJ86" s="285"/>
      <c r="AK86" s="689"/>
      <c r="AL86" s="689"/>
      <c r="AM86" s="689"/>
      <c r="AN86" s="689"/>
      <c r="AO86" s="689"/>
      <c r="AP86" s="689"/>
      <c r="AQ86" s="689"/>
      <c r="AR86" s="689"/>
      <c r="AS86" s="689"/>
      <c r="AT86" s="689"/>
      <c r="AU86" s="689"/>
      <c r="AV86" s="689"/>
      <c r="AW86" s="689"/>
      <c r="AX86" s="689"/>
      <c r="AY86" s="689"/>
      <c r="AZ86" s="689"/>
      <c r="BA86" s="689"/>
      <c r="BB86" s="689"/>
      <c r="BC86" s="689"/>
      <c r="BD86" s="689"/>
      <c r="BE86" s="689"/>
      <c r="BF86" s="689"/>
      <c r="BG86" s="689"/>
      <c r="BH86" s="689"/>
      <c r="BI86" s="689"/>
      <c r="BJ86" s="689"/>
      <c r="BK86" s="689"/>
      <c r="BL86" s="689"/>
      <c r="BM86" s="689"/>
      <c r="BN86" s="689"/>
      <c r="BO86" s="689"/>
      <c r="BP86" s="689"/>
      <c r="BQ86" s="689"/>
      <c r="BR86" s="689"/>
      <c r="BS86" s="689"/>
      <c r="BT86" s="689"/>
      <c r="BU86" s="689"/>
      <c r="BV86" s="689"/>
      <c r="BW86" s="689"/>
      <c r="BX86" s="689"/>
      <c r="BY86" s="689"/>
      <c r="BZ86" s="689"/>
    </row>
    <row r="87" spans="1:78" ht="14" thickBot="1" x14ac:dyDescent="0.2">
      <c r="A87" s="633"/>
      <c r="B87" s="762">
        <f ca="1">E87/NoOfSpaces</f>
        <v>549.05397122302168</v>
      </c>
      <c r="C87" s="743" t="s">
        <v>196</v>
      </c>
      <c r="D87" s="765">
        <f t="shared" ref="D87:AH87" ca="1" si="117">D85*12</f>
        <v>224516.32000000004</v>
      </c>
      <c r="E87" s="766">
        <f t="shared" ca="1" si="117"/>
        <v>152637.00400000002</v>
      </c>
      <c r="F87" s="767">
        <f t="shared" ca="1" si="117"/>
        <v>152637.00400000002</v>
      </c>
      <c r="G87" s="767">
        <f t="shared" ca="1" si="117"/>
        <v>262199.86199999996</v>
      </c>
      <c r="H87" s="767">
        <f t="shared" ca="1" si="117"/>
        <v>387639.27815999999</v>
      </c>
      <c r="I87" s="767">
        <f t="shared" ca="1" si="117"/>
        <v>519434.58364319993</v>
      </c>
      <c r="J87" s="767">
        <f t="shared" ca="1" si="117"/>
        <v>651211.47623606387</v>
      </c>
      <c r="K87" s="767">
        <f t="shared" ca="1" si="117"/>
        <v>681775.94184078532</v>
      </c>
      <c r="L87" s="767">
        <f t="shared" ca="1" si="117"/>
        <v>713653.30620080105</v>
      </c>
      <c r="M87" s="767">
        <f t="shared" ca="1" si="117"/>
        <v>746897.89166894485</v>
      </c>
      <c r="N87" s="767">
        <f t="shared" ca="1" si="117"/>
        <v>781566.22962021711</v>
      </c>
      <c r="O87" s="767">
        <f t="shared" ca="1" si="117"/>
        <v>817717.14953523013</v>
      </c>
      <c r="P87" s="767">
        <f t="shared" ca="1" si="117"/>
        <v>855411.87166144804</v>
      </c>
      <c r="Q87" s="767">
        <f t="shared" ca="1" si="117"/>
        <v>894714.10339561081</v>
      </c>
      <c r="R87" s="767">
        <f t="shared" ca="1" si="117"/>
        <v>935690.13953649451</v>
      </c>
      <c r="S87" s="767">
        <f t="shared" ca="1" si="117"/>
        <v>978408.9665631142</v>
      </c>
      <c r="T87" s="767">
        <f t="shared" ca="1" si="117"/>
        <v>1022942.371099702</v>
      </c>
      <c r="U87" s="767">
        <f t="shared" ca="1" si="117"/>
        <v>1069365.0527352344</v>
      </c>
      <c r="V87" s="767">
        <f t="shared" ca="1" si="117"/>
        <v>1117754.7413720191</v>
      </c>
      <c r="W87" s="767">
        <f t="shared" ca="1" si="117"/>
        <v>1168192.3192848226</v>
      </c>
      <c r="X87" s="767">
        <f t="shared" ca="1" si="117"/>
        <v>1220761.9480792973</v>
      </c>
      <c r="Y87" s="767">
        <f t="shared" ca="1" si="117"/>
        <v>1275551.2007460124</v>
      </c>
      <c r="Z87" s="767">
        <f t="shared" ca="1" si="117"/>
        <v>1332651.199014266</v>
      </c>
      <c r="AA87" s="767">
        <f t="shared" ca="1" si="117"/>
        <v>1392156.7562180189</v>
      </c>
      <c r="AB87" s="767">
        <f t="shared" ca="1" si="117"/>
        <v>1454166.5258947858</v>
      </c>
      <c r="AC87" s="767">
        <f t="shared" ca="1" si="117"/>
        <v>1518783.156347184</v>
      </c>
      <c r="AD87" s="767">
        <f t="shared" ca="1" si="117"/>
        <v>1586113.45140601</v>
      </c>
      <c r="AE87" s="767">
        <f t="shared" ca="1" si="117"/>
        <v>1656268.5376432883</v>
      </c>
      <c r="AF87" s="767">
        <f t="shared" ca="1" si="117"/>
        <v>1729364.0382936783</v>
      </c>
      <c r="AG87" s="767">
        <f t="shared" ca="1" si="117"/>
        <v>1805520.2541529769</v>
      </c>
      <c r="AH87" s="767">
        <f t="shared" ca="1" si="117"/>
        <v>1884862.3517331979</v>
      </c>
      <c r="AI87" s="767">
        <f t="shared" ref="AI87:AJ87" ca="1" si="118">AI85*12</f>
        <v>1967520.5589649118</v>
      </c>
      <c r="AJ87" s="767">
        <f t="shared" ca="1" si="118"/>
        <v>2053630.3687491396</v>
      </c>
      <c r="AK87" s="689"/>
      <c r="AL87" s="689"/>
      <c r="AM87" s="689"/>
      <c r="AN87" s="689"/>
      <c r="AO87" s="689"/>
      <c r="AP87" s="689"/>
      <c r="AQ87" s="689"/>
      <c r="AR87" s="689"/>
      <c r="AS87" s="689"/>
      <c r="AT87" s="689"/>
      <c r="AU87" s="689"/>
      <c r="AV87" s="689"/>
      <c r="AW87" s="689"/>
      <c r="AX87" s="689"/>
      <c r="AY87" s="689"/>
      <c r="AZ87" s="689"/>
      <c r="BA87" s="689"/>
      <c r="BB87" s="689"/>
      <c r="BC87" s="689"/>
      <c r="BD87" s="689"/>
      <c r="BE87" s="689"/>
      <c r="BF87" s="689"/>
      <c r="BG87" s="689"/>
      <c r="BH87" s="689"/>
      <c r="BI87" s="689"/>
      <c r="BJ87" s="689"/>
      <c r="BK87" s="689"/>
      <c r="BL87" s="689"/>
      <c r="BM87" s="689"/>
      <c r="BN87" s="689"/>
      <c r="BO87" s="689"/>
      <c r="BP87" s="689"/>
      <c r="BQ87" s="689"/>
      <c r="BR87" s="689"/>
      <c r="BS87" s="689"/>
      <c r="BT87" s="689"/>
      <c r="BU87" s="689"/>
      <c r="BV87" s="689"/>
      <c r="BW87" s="689"/>
      <c r="BX87" s="689"/>
      <c r="BY87" s="689"/>
      <c r="BZ87" s="689"/>
    </row>
    <row r="88" spans="1:78" ht="14" thickTop="1" x14ac:dyDescent="0.15">
      <c r="A88" s="633"/>
      <c r="C88" s="14"/>
      <c r="D88" s="633"/>
      <c r="E88" s="633"/>
      <c r="F88" s="291"/>
      <c r="G88" s="16"/>
      <c r="H88" s="16"/>
      <c r="I88" s="16"/>
      <c r="J88" s="16"/>
      <c r="K88" s="16"/>
      <c r="L88" s="16"/>
      <c r="M88" s="16"/>
      <c r="N88" s="16"/>
      <c r="O88" s="16"/>
      <c r="P88" s="16"/>
      <c r="Q88" s="16"/>
      <c r="R88" s="16"/>
      <c r="S88" s="689"/>
      <c r="T88" s="689"/>
      <c r="U88" s="689"/>
      <c r="V88" s="689"/>
      <c r="W88" s="689"/>
      <c r="X88" s="689"/>
      <c r="Y88" s="689"/>
      <c r="Z88" s="689"/>
      <c r="AA88" s="689"/>
      <c r="AB88" s="689"/>
      <c r="AC88" s="689"/>
      <c r="AD88" s="689"/>
      <c r="AE88" s="689"/>
      <c r="AF88" s="689"/>
      <c r="AG88" s="689"/>
      <c r="AH88" s="689"/>
      <c r="AI88" s="689"/>
      <c r="AJ88" s="689"/>
      <c r="AK88" s="689"/>
      <c r="AL88" s="689"/>
      <c r="AM88" s="689"/>
      <c r="AN88" s="689"/>
      <c r="AO88" s="689"/>
      <c r="AP88" s="689"/>
      <c r="AQ88" s="689"/>
      <c r="AR88" s="689"/>
      <c r="AS88" s="689"/>
      <c r="AT88" s="689"/>
      <c r="AU88" s="689"/>
      <c r="AV88" s="689"/>
      <c r="AW88" s="689"/>
      <c r="AX88" s="689"/>
      <c r="AY88" s="689"/>
      <c r="AZ88" s="689"/>
      <c r="BA88" s="689"/>
      <c r="BB88" s="689"/>
      <c r="BC88" s="689"/>
      <c r="BD88" s="689"/>
      <c r="BE88" s="689"/>
      <c r="BF88" s="689"/>
      <c r="BG88" s="689"/>
      <c r="BH88" s="689"/>
      <c r="BI88" s="689"/>
      <c r="BJ88" s="689"/>
      <c r="BK88" s="689"/>
      <c r="BL88" s="689"/>
      <c r="BM88" s="689"/>
      <c r="BN88" s="689"/>
      <c r="BO88" s="689"/>
      <c r="BP88" s="689"/>
      <c r="BQ88" s="689"/>
      <c r="BR88" s="689"/>
      <c r="BS88" s="689"/>
      <c r="BT88" s="689"/>
      <c r="BU88" s="689"/>
      <c r="BV88" s="689"/>
      <c r="BW88" s="689"/>
      <c r="BX88" s="689"/>
      <c r="BY88" s="689"/>
      <c r="BZ88" s="689"/>
    </row>
    <row r="89" spans="1:78" x14ac:dyDescent="0.15">
      <c r="A89" s="633"/>
      <c r="C89" s="14"/>
      <c r="D89" s="633"/>
      <c r="E89" s="337" t="s">
        <v>197</v>
      </c>
      <c r="F89" s="333">
        <f t="shared" ref="F89:M89" ca="1" si="119">+F87/$D$8</f>
        <v>2.2696952902160172E-2</v>
      </c>
      <c r="G89" s="333">
        <f t="shared" ca="1" si="119"/>
        <v>3.898882815314493E-2</v>
      </c>
      <c r="H89" s="333">
        <f t="shared" ca="1" si="119"/>
        <v>5.7641529962320838E-2</v>
      </c>
      <c r="I89" s="333">
        <f t="shared" ca="1" si="119"/>
        <v>7.7239345451925193E-2</v>
      </c>
      <c r="J89" s="333">
        <f t="shared" ca="1" si="119"/>
        <v>9.6834422965194858E-2</v>
      </c>
      <c r="K89" s="333">
        <f t="shared" ca="1" si="119"/>
        <v>0.10137932504090683</v>
      </c>
      <c r="L89" s="333">
        <f t="shared" ca="1" si="119"/>
        <v>0.10611945370278934</v>
      </c>
      <c r="M89" s="333">
        <f t="shared" ca="1" si="119"/>
        <v>0.11106288662435206</v>
      </c>
      <c r="N89" s="16"/>
      <c r="O89" s="16"/>
      <c r="P89" s="16"/>
      <c r="Q89" s="16"/>
      <c r="R89" s="16"/>
      <c r="S89" s="689"/>
      <c r="T89" s="689"/>
      <c r="U89" s="689"/>
      <c r="V89" s="689"/>
      <c r="W89" s="689"/>
      <c r="X89" s="689"/>
      <c r="Y89" s="689"/>
      <c r="Z89" s="689"/>
      <c r="AA89" s="689"/>
      <c r="AB89" s="689"/>
      <c r="AC89" s="689"/>
      <c r="AD89" s="689"/>
      <c r="AE89" s="689"/>
      <c r="AF89" s="689"/>
      <c r="AG89" s="689"/>
      <c r="AH89" s="689"/>
      <c r="AI89" s="689"/>
      <c r="AJ89" s="689"/>
      <c r="AK89" s="689"/>
      <c r="AL89" s="689"/>
      <c r="AM89" s="689"/>
      <c r="AN89" s="689"/>
      <c r="AO89" s="689"/>
      <c r="AP89" s="689"/>
      <c r="AQ89" s="689"/>
      <c r="AR89" s="689"/>
      <c r="AS89" s="689"/>
      <c r="AT89" s="689"/>
      <c r="AU89" s="689"/>
      <c r="AV89" s="689"/>
      <c r="AW89" s="689"/>
      <c r="AX89" s="689"/>
      <c r="AY89" s="689"/>
      <c r="AZ89" s="689"/>
      <c r="BA89" s="689"/>
      <c r="BB89" s="689"/>
      <c r="BC89" s="689"/>
      <c r="BD89" s="689"/>
      <c r="BE89" s="689"/>
      <c r="BF89" s="689"/>
      <c r="BG89" s="689"/>
      <c r="BH89" s="689"/>
      <c r="BI89" s="689"/>
      <c r="BJ89" s="689"/>
      <c r="BK89" s="689"/>
      <c r="BL89" s="689"/>
      <c r="BM89" s="689"/>
      <c r="BN89" s="689"/>
      <c r="BO89" s="689"/>
      <c r="BP89" s="689"/>
      <c r="BQ89" s="689"/>
      <c r="BR89" s="689"/>
      <c r="BS89" s="689"/>
      <c r="BT89" s="689"/>
      <c r="BU89" s="689"/>
      <c r="BV89" s="689"/>
      <c r="BW89" s="689"/>
      <c r="BX89" s="689"/>
      <c r="BY89" s="689"/>
      <c r="BZ89" s="689"/>
    </row>
    <row r="90" spans="1:78" s="60" customFormat="1" ht="12" hidden="1" x14ac:dyDescent="0.15">
      <c r="B90" s="490"/>
      <c r="C90" s="299"/>
      <c r="E90" s="337" t="s">
        <v>197</v>
      </c>
      <c r="F90" s="333">
        <f ca="1">+F87/($D$8-SUM(F87-F87))</f>
        <v>2.2696952902160172E-2</v>
      </c>
      <c r="G90" s="333">
        <f ca="1">+G87/($D$8-SUM($F$87:F87))</f>
        <v>3.9894307368553282E-2</v>
      </c>
      <c r="H90" s="333">
        <f ca="1">+H87/($D$8-SUM($F$87:G87))</f>
        <v>6.1430945837258256E-2</v>
      </c>
      <c r="I90" s="333">
        <f ca="1">+I87/($D$8-SUM($F$87:H87))</f>
        <v>8.7704940119326294E-2</v>
      </c>
      <c r="J90" s="333">
        <f ca="1">+J87/($D$8-SUM($F$87:I87))</f>
        <v>0.12052577073747621</v>
      </c>
      <c r="K90" s="333">
        <f ca="1">+K87/($D$8-SUM($F$87:J87))</f>
        <v>0.14347506356195247</v>
      </c>
      <c r="L90" s="333">
        <f ca="1">+L87/($D$8-SUM($F$87:K87))</f>
        <v>0.17534041278166165</v>
      </c>
      <c r="M90" s="333">
        <f ca="1">+M87/($D$8-SUM($F$87:L87))</f>
        <v>0.22252625739397228</v>
      </c>
      <c r="N90" s="300"/>
      <c r="O90" s="301"/>
      <c r="P90" s="300"/>
      <c r="Q90" s="300"/>
      <c r="R90" s="300"/>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x14ac:dyDescent="0.15">
      <c r="A91" s="633"/>
      <c r="C91" s="14"/>
      <c r="D91" s="236" t="s">
        <v>198</v>
      </c>
      <c r="E91" s="236" t="s">
        <v>199</v>
      </c>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689"/>
      <c r="AL91" s="689"/>
      <c r="AM91" s="689"/>
      <c r="AN91" s="689"/>
      <c r="AO91" s="689"/>
      <c r="AP91" s="689"/>
      <c r="AQ91" s="689"/>
      <c r="AR91" s="689"/>
      <c r="AS91" s="689"/>
      <c r="AT91" s="689"/>
      <c r="AU91" s="689"/>
      <c r="AV91" s="689"/>
      <c r="AW91" s="689"/>
      <c r="AX91" s="689"/>
      <c r="AY91" s="689"/>
      <c r="AZ91" s="689"/>
      <c r="BA91" s="689"/>
      <c r="BB91" s="689"/>
      <c r="BC91" s="689"/>
      <c r="BD91" s="689"/>
      <c r="BE91" s="689"/>
      <c r="BF91" s="689"/>
      <c r="BG91" s="689"/>
      <c r="BH91" s="689"/>
      <c r="BI91" s="689"/>
      <c r="BJ91" s="689"/>
      <c r="BK91" s="689"/>
      <c r="BL91" s="689"/>
      <c r="BM91" s="689"/>
      <c r="BN91" s="689"/>
      <c r="BO91" s="689"/>
      <c r="BP91" s="689"/>
      <c r="BQ91" s="689"/>
      <c r="BR91" s="689"/>
      <c r="BS91" s="689"/>
      <c r="BT91" s="689"/>
      <c r="BU91" s="689"/>
      <c r="BV91" s="689"/>
      <c r="BW91" s="689"/>
      <c r="BX91" s="689"/>
      <c r="BY91" s="689"/>
      <c r="BZ91" s="689"/>
    </row>
    <row r="92" spans="1:78" x14ac:dyDescent="0.15">
      <c r="A92" s="633"/>
      <c r="C92" s="289"/>
      <c r="D92" s="768" t="s">
        <v>200</v>
      </c>
      <c r="E92" s="769" t="s">
        <v>200</v>
      </c>
      <c r="F92" s="234">
        <v>1</v>
      </c>
      <c r="G92" s="234">
        <f t="shared" ref="G92:AH92" si="120">F92+1</f>
        <v>2</v>
      </c>
      <c r="H92" s="234">
        <f t="shared" si="120"/>
        <v>3</v>
      </c>
      <c r="I92" s="234">
        <f t="shared" si="120"/>
        <v>4</v>
      </c>
      <c r="J92" s="234">
        <f t="shared" si="120"/>
        <v>5</v>
      </c>
      <c r="K92" s="234">
        <f t="shared" si="120"/>
        <v>6</v>
      </c>
      <c r="L92" s="234">
        <f t="shared" si="120"/>
        <v>7</v>
      </c>
      <c r="M92" s="234">
        <f t="shared" si="120"/>
        <v>8</v>
      </c>
      <c r="N92" s="234">
        <f t="shared" si="120"/>
        <v>9</v>
      </c>
      <c r="O92" s="234">
        <f t="shared" si="120"/>
        <v>10</v>
      </c>
      <c r="P92" s="234">
        <f t="shared" si="120"/>
        <v>11</v>
      </c>
      <c r="Q92" s="234">
        <f t="shared" si="120"/>
        <v>12</v>
      </c>
      <c r="R92" s="234">
        <f t="shared" si="120"/>
        <v>13</v>
      </c>
      <c r="S92" s="234">
        <f t="shared" si="120"/>
        <v>14</v>
      </c>
      <c r="T92" s="234">
        <f t="shared" si="120"/>
        <v>15</v>
      </c>
      <c r="U92" s="234">
        <f t="shared" si="120"/>
        <v>16</v>
      </c>
      <c r="V92" s="234">
        <f t="shared" si="120"/>
        <v>17</v>
      </c>
      <c r="W92" s="234">
        <f t="shared" si="120"/>
        <v>18</v>
      </c>
      <c r="X92" s="234">
        <f t="shared" si="120"/>
        <v>19</v>
      </c>
      <c r="Y92" s="234">
        <f t="shared" si="120"/>
        <v>20</v>
      </c>
      <c r="Z92" s="234">
        <f t="shared" si="120"/>
        <v>21</v>
      </c>
      <c r="AA92" s="234">
        <f t="shared" si="120"/>
        <v>22</v>
      </c>
      <c r="AB92" s="234">
        <f t="shared" si="120"/>
        <v>23</v>
      </c>
      <c r="AC92" s="234">
        <f t="shared" si="120"/>
        <v>24</v>
      </c>
      <c r="AD92" s="234">
        <f t="shared" si="120"/>
        <v>25</v>
      </c>
      <c r="AE92" s="234">
        <f t="shared" si="120"/>
        <v>26</v>
      </c>
      <c r="AF92" s="234">
        <f t="shared" si="120"/>
        <v>27</v>
      </c>
      <c r="AG92" s="234">
        <f t="shared" si="120"/>
        <v>28</v>
      </c>
      <c r="AH92" s="234">
        <f t="shared" si="120"/>
        <v>29</v>
      </c>
      <c r="AI92" s="234">
        <f t="shared" ref="AI92" si="121">AH92+1</f>
        <v>30</v>
      </c>
      <c r="AJ92" s="234">
        <f t="shared" ref="AJ92" si="122">AI92+1</f>
        <v>31</v>
      </c>
      <c r="AK92" s="689"/>
      <c r="AL92" s="689"/>
      <c r="AM92" s="689"/>
      <c r="AN92" s="689"/>
      <c r="AO92" s="689"/>
      <c r="AP92" s="689"/>
      <c r="AQ92" s="689"/>
      <c r="AR92" s="689"/>
      <c r="AS92" s="689"/>
      <c r="AT92" s="689"/>
      <c r="AU92" s="689"/>
      <c r="AV92" s="689"/>
      <c r="AW92" s="689"/>
      <c r="AX92" s="689"/>
      <c r="AY92" s="689"/>
      <c r="AZ92" s="689"/>
      <c r="BA92" s="689"/>
      <c r="BB92" s="689"/>
      <c r="BC92" s="689"/>
      <c r="BD92" s="689"/>
      <c r="BE92" s="689"/>
      <c r="BF92" s="689"/>
      <c r="BG92" s="689"/>
      <c r="BH92" s="689"/>
      <c r="BI92" s="689"/>
      <c r="BJ92" s="689"/>
      <c r="BK92" s="689"/>
      <c r="BL92" s="689"/>
      <c r="BM92" s="689"/>
      <c r="BN92" s="689"/>
      <c r="BO92" s="689"/>
      <c r="BP92" s="689"/>
      <c r="BQ92" s="689"/>
      <c r="BR92" s="689"/>
      <c r="BS92" s="689"/>
      <c r="BT92" s="689"/>
      <c r="BU92" s="689"/>
      <c r="BV92" s="689"/>
      <c r="BW92" s="689"/>
      <c r="BX92" s="689"/>
      <c r="BY92" s="689"/>
      <c r="BZ92" s="689"/>
    </row>
    <row r="93" spans="1:78" x14ac:dyDescent="0.15">
      <c r="A93" s="633"/>
      <c r="C93" s="11" t="s">
        <v>201</v>
      </c>
      <c r="D93" s="306">
        <f>InitialLoan/Purchase_Price</f>
        <v>0.62508243760389359</v>
      </c>
      <c r="E93" s="306">
        <v>0.65</v>
      </c>
      <c r="F93" s="235" t="str">
        <f>IF(F95&gt;0,SUM(F94:F95),"")</f>
        <v/>
      </c>
      <c r="G93" s="235" t="str">
        <f t="shared" ref="G93" si="123">IF(G95&lt;&gt;0,SUM(G94:G95),IF(H95&lt;&gt;0,"Refinance",""))</f>
        <v/>
      </c>
      <c r="H93" s="235" t="str">
        <f t="shared" ref="H93" si="124">IF(H95&lt;&gt;0,SUM(H94:H95),IF(I95&lt;&gt;0,"Refinance",""))</f>
        <v/>
      </c>
      <c r="I93" s="235" t="str">
        <f t="shared" ref="I93" si="125">IF(I95&lt;&gt;0,SUM(I94:I95),IF(J95&lt;&gt;0,"Refinance",""))</f>
        <v/>
      </c>
      <c r="J93" s="235" t="str">
        <f ca="1">IF(J95&lt;&gt;0,SUM(J94:J95),IF(K95&lt;&gt;0,"Refinance",""))</f>
        <v>Refinance</v>
      </c>
      <c r="K93" s="235">
        <f t="shared" ref="K93" ca="1" si="126">IF(K95&lt;&gt;0,SUM(K94:K95),IF(L95&lt;&gt;0,"Refinance",""))</f>
        <v>7696135.6282443916</v>
      </c>
      <c r="L93" s="235" t="str">
        <f t="shared" ref="L93" si="127">IF(L95&lt;&gt;0,SUM(L94:L95),IF(M95&lt;&gt;0,"Refinance",""))</f>
        <v/>
      </c>
      <c r="M93" s="235" t="str">
        <f t="shared" ref="M93" si="128">IF(M95&lt;&gt;0,SUM(M94:M95),IF(N95&lt;&gt;0,"Refinance",""))</f>
        <v/>
      </c>
      <c r="N93" s="235" t="str">
        <f t="shared" ref="N93" si="129">IF(N95&lt;&gt;0,SUM(N94:N95),IF(O95&lt;&gt;0,"Refinance",""))</f>
        <v/>
      </c>
      <c r="O93" s="235" t="str">
        <f t="shared" ref="O93" si="130">IF(O95&lt;&gt;0,SUM(O94:O95),IF(P95&lt;&gt;0,"Refinance",""))</f>
        <v/>
      </c>
      <c r="P93" s="235" t="str">
        <f t="shared" ref="P93" si="131">IF(P95&lt;&gt;0,SUM(P94:P95),IF(Q95&lt;&gt;0,"Refinance",""))</f>
        <v/>
      </c>
      <c r="Q93" s="235" t="str">
        <f t="shared" ref="Q93" si="132">IF(Q95&lt;&gt;0,SUM(Q94:Q95),IF(R95&lt;&gt;0,"Refinance",""))</f>
        <v/>
      </c>
      <c r="R93" s="235" t="str">
        <f t="shared" ref="R93" si="133">IF(R95&lt;&gt;0,SUM(R94:R95),IF(S95&lt;&gt;0,"Refinance",""))</f>
        <v/>
      </c>
      <c r="S93" s="235" t="str">
        <f t="shared" ref="S93" si="134">IF(S95&lt;&gt;0,SUM(S94:S95),IF(T95&lt;&gt;0,"Refinance",""))</f>
        <v/>
      </c>
      <c r="T93" s="235" t="str">
        <f t="shared" ref="T93" si="135">IF(T95&lt;&gt;0,SUM(T94:T95),IF(U95&lt;&gt;0,"Refinance",""))</f>
        <v/>
      </c>
      <c r="U93" s="235" t="str">
        <f t="shared" ref="U93" si="136">IF(U95&lt;&gt;0,SUM(U94:U95),IF(V95&lt;&gt;0,"Refinance",""))</f>
        <v/>
      </c>
      <c r="V93" s="235" t="str">
        <f t="shared" ref="V93" si="137">IF(V95&lt;&gt;0,SUM(V94:V95),IF(W95&lt;&gt;0,"Refinance",""))</f>
        <v/>
      </c>
      <c r="W93" s="235" t="str">
        <f t="shared" ref="W93" si="138">IF(W95&lt;&gt;0,SUM(W94:W95),IF(X95&lt;&gt;0,"Refinance",""))</f>
        <v/>
      </c>
      <c r="X93" s="235" t="str">
        <f t="shared" ref="X93" si="139">IF(X95&lt;&gt;0,SUM(X94:X95),IF(Y95&lt;&gt;0,"Refinance",""))</f>
        <v/>
      </c>
      <c r="Y93" s="235" t="str">
        <f t="shared" ref="Y93" si="140">IF(Y95&lt;&gt;0,SUM(Y94:Y95),IF(Z95&lt;&gt;0,"Refinance",""))</f>
        <v/>
      </c>
      <c r="Z93" s="235" t="str">
        <f t="shared" ref="Z93" si="141">IF(Z95&lt;&gt;0,SUM(Z94:Z95),IF(AA95&lt;&gt;0,"Refinance",""))</f>
        <v/>
      </c>
      <c r="AA93" s="235" t="str">
        <f t="shared" ref="AA93" si="142">IF(AA95&lt;&gt;0,SUM(AA94:AA95),IF(AB95&lt;&gt;0,"Refinance",""))</f>
        <v/>
      </c>
      <c r="AB93" s="235" t="str">
        <f t="shared" ref="AB93" si="143">IF(AB95&lt;&gt;0,SUM(AB94:AB95),IF(AC95&lt;&gt;0,"Refinance",""))</f>
        <v/>
      </c>
      <c r="AC93" s="235" t="str">
        <f t="shared" ref="AC93" si="144">IF(AC95&lt;&gt;0,SUM(AC94:AC95),IF(AD95&lt;&gt;0,"Refinance",""))</f>
        <v/>
      </c>
      <c r="AD93" s="235" t="str">
        <f t="shared" ref="AD93" si="145">IF(AD95&lt;&gt;0,SUM(AD94:AD95),IF(AE95&lt;&gt;0,"Refinance",""))</f>
        <v/>
      </c>
      <c r="AE93" s="235" t="str">
        <f t="shared" ref="AE93" si="146">IF(AE95&lt;&gt;0,SUM(AE94:AE95),IF(AF95&lt;&gt;0,"Refinance",""))</f>
        <v/>
      </c>
      <c r="AF93" s="235" t="str">
        <f t="shared" ref="AF93" si="147">IF(AF95&lt;&gt;0,SUM(AF94:AF95),IF(AG95&lt;&gt;0,"Refinance",""))</f>
        <v/>
      </c>
      <c r="AG93" s="235" t="str">
        <f t="shared" ref="AG93" si="148">IF(AG95&lt;&gt;0,SUM(AG94:AG95),IF(AH95&lt;&gt;0,"Refinance",""))</f>
        <v/>
      </c>
      <c r="AH93" s="235" t="str">
        <f>IF(AH95&lt;&gt;0,SUM(AH94:AH95),IF(AJ95&lt;&gt;0,"Refinance",""))</f>
        <v/>
      </c>
      <c r="AI93" s="235" t="str">
        <f t="shared" ref="AI93:AJ93" si="149">IF(AI95&lt;&gt;0,SUM(AI94:AI95),IF(AK95&lt;&gt;0,"Refinance",""))</f>
        <v/>
      </c>
      <c r="AJ93" s="235" t="str">
        <f t="shared" si="149"/>
        <v/>
      </c>
      <c r="AK93" s="689"/>
      <c r="AL93" s="689"/>
      <c r="AM93" s="689"/>
      <c r="AN93" s="689"/>
      <c r="AO93" s="689"/>
      <c r="AP93" s="689"/>
      <c r="AQ93" s="689"/>
      <c r="AR93" s="689"/>
      <c r="AS93" s="689"/>
      <c r="AT93" s="689"/>
      <c r="AU93" s="689"/>
      <c r="AV93" s="689"/>
      <c r="AW93" s="689"/>
      <c r="AX93" s="689"/>
      <c r="AY93" s="689"/>
      <c r="AZ93" s="689"/>
      <c r="BA93" s="689"/>
      <c r="BB93" s="689"/>
      <c r="BC93" s="689"/>
      <c r="BD93" s="689"/>
      <c r="BE93" s="689"/>
      <c r="BF93" s="689"/>
      <c r="BG93" s="689"/>
      <c r="BH93" s="689"/>
      <c r="BI93" s="689"/>
      <c r="BJ93" s="689"/>
      <c r="BK93" s="689"/>
      <c r="BL93" s="689"/>
      <c r="BM93" s="689"/>
      <c r="BN93" s="689"/>
      <c r="BO93" s="689"/>
      <c r="BP93" s="689"/>
      <c r="BQ93" s="689"/>
      <c r="BR93" s="689"/>
      <c r="BS93" s="689"/>
      <c r="BT93" s="689"/>
      <c r="BU93" s="689"/>
      <c r="BV93" s="689"/>
      <c r="BW93" s="689"/>
      <c r="BX93" s="689"/>
      <c r="BY93" s="689"/>
      <c r="BZ93" s="689"/>
    </row>
    <row r="94" spans="1:78" x14ac:dyDescent="0.15">
      <c r="A94" s="633"/>
      <c r="C94" s="32" t="s">
        <v>202</v>
      </c>
      <c r="D94" s="768" t="s">
        <v>203</v>
      </c>
      <c r="E94" s="768" t="s">
        <v>203</v>
      </c>
      <c r="F94" s="33">
        <v>2815000</v>
      </c>
      <c r="G94" s="33">
        <f t="shared" ref="G94" si="150">F99</f>
        <v>2779443.123698757</v>
      </c>
      <c r="H94" s="33">
        <f t="shared" ref="H94" si="151">G99</f>
        <v>2741857.0053554783</v>
      </c>
      <c r="I94" s="33">
        <f t="shared" ref="I94" si="152">H99</f>
        <v>2702125.8354926864</v>
      </c>
      <c r="J94" s="33">
        <f t="shared" ref="J94" si="153">I99</f>
        <v>2660127.1953498344</v>
      </c>
      <c r="K94" s="33">
        <f t="shared" ref="K94" si="154">J99</f>
        <v>2615731.6796894548</v>
      </c>
      <c r="L94" s="33">
        <f t="shared" ref="L94" ca="1" si="155">K99</f>
        <v>7601236.5920470944</v>
      </c>
      <c r="M94" s="33">
        <f t="shared" ref="M94" ca="1" si="156">L99</f>
        <v>7500801.2844724748</v>
      </c>
      <c r="N94" s="33">
        <f t="shared" ref="N94" ca="1" si="157">M99</f>
        <v>7394506.7275221087</v>
      </c>
      <c r="O94" s="33">
        <f t="shared" ref="O94" ca="1" si="158">N99</f>
        <v>7282011.1011321535</v>
      </c>
      <c r="P94" s="33">
        <f t="shared" ref="P94" ca="1" si="159">O99</f>
        <v>7162952.6439547297</v>
      </c>
      <c r="Q94" s="33">
        <f t="shared" ref="Q94" ca="1" si="160">P99</f>
        <v>7036948.4900124921</v>
      </c>
      <c r="R94" s="33">
        <f t="shared" ref="R94" ca="1" si="161">Q99</f>
        <v>6903593.4374853224</v>
      </c>
      <c r="S94" s="33">
        <f t="shared" ref="S94" ca="1" si="162">R99</f>
        <v>6762458.6456698356</v>
      </c>
      <c r="T94" s="33">
        <f t="shared" ref="T94" ca="1" si="163">S99</f>
        <v>6613090.2559214048</v>
      </c>
      <c r="U94" s="33">
        <f t="shared" ref="U94" ca="1" si="164">T99</f>
        <v>6455007.9321439527</v>
      </c>
      <c r="V94" s="33">
        <f t="shared" ref="V94" ca="1" si="165">U99</f>
        <v>6287703.3161340458</v>
      </c>
      <c r="W94" s="33">
        <f t="shared" ref="W94" ca="1" si="166">V99</f>
        <v>6110638.3928120192</v>
      </c>
      <c r="X94" s="33">
        <f t="shared" ref="X94" ca="1" si="167">W99</f>
        <v>5923243.7600830654</v>
      </c>
      <c r="Y94" s="33">
        <f t="shared" ref="Y94" ca="1" si="168">X99</f>
        <v>5724916.7977645434</v>
      </c>
      <c r="Z94" s="33">
        <f t="shared" ref="Z94" ca="1" si="169">Y99</f>
        <v>5515019.7296911795</v>
      </c>
      <c r="AA94" s="33">
        <f t="shared" ref="AA94" ca="1" si="170">Z99</f>
        <v>5292877.5727663059</v>
      </c>
      <c r="AB94" s="33">
        <f t="shared" ref="AB94" ca="1" si="171">AA99</f>
        <v>5057775.9663637476</v>
      </c>
      <c r="AC94" s="33">
        <f t="shared" ref="AC94" ca="1" si="172">AB99</f>
        <v>4808958.875100174</v>
      </c>
      <c r="AD94" s="33">
        <f t="shared" ref="AD94" ca="1" si="173">AC99</f>
        <v>4545626.1575905411</v>
      </c>
      <c r="AE94" s="33">
        <f t="shared" ref="AE94" ca="1" si="174">AD99</f>
        <v>4266930.9933682764</v>
      </c>
      <c r="AF94" s="33">
        <f t="shared" ref="AF94" ca="1" si="175">AE99</f>
        <v>3971977.1596957324</v>
      </c>
      <c r="AG94" s="33">
        <f t="shared" ref="AG94" ca="1" si="176">AF99</f>
        <v>3659816.1495077396</v>
      </c>
      <c r="AH94" s="33">
        <f t="shared" ref="AH94" ca="1" si="177">AG99</f>
        <v>3329444.1212201854</v>
      </c>
      <c r="AI94" s="33">
        <f t="shared" ref="AI94" ca="1" si="178">AH99</f>
        <v>2979798.6705948766</v>
      </c>
      <c r="AJ94" s="33">
        <f t="shared" ref="AJ94" ca="1" si="179">AI99</f>
        <v>2609755.4142797031</v>
      </c>
      <c r="AK94" s="689"/>
      <c r="AL94" s="689"/>
      <c r="AM94" s="689"/>
      <c r="AN94" s="689"/>
      <c r="AO94" s="689"/>
      <c r="AP94" s="689"/>
      <c r="AQ94" s="689"/>
      <c r="AR94" s="689"/>
      <c r="AS94" s="689"/>
      <c r="AT94" s="689"/>
      <c r="AU94" s="689"/>
      <c r="AV94" s="689"/>
      <c r="AW94" s="689"/>
      <c r="AX94" s="689"/>
      <c r="AY94" s="689"/>
      <c r="AZ94" s="689"/>
      <c r="BA94" s="689"/>
      <c r="BB94" s="689"/>
      <c r="BC94" s="689"/>
      <c r="BD94" s="689"/>
      <c r="BE94" s="689"/>
      <c r="BF94" s="689"/>
      <c r="BG94" s="689"/>
      <c r="BH94" s="689"/>
      <c r="BI94" s="689"/>
      <c r="BJ94" s="689"/>
      <c r="BK94" s="689"/>
      <c r="BL94" s="689"/>
      <c r="BM94" s="689"/>
      <c r="BN94" s="689"/>
      <c r="BO94" s="689"/>
      <c r="BP94" s="689"/>
      <c r="BQ94" s="689"/>
      <c r="BR94" s="689"/>
      <c r="BS94" s="689"/>
      <c r="BT94" s="689"/>
      <c r="BU94" s="689"/>
      <c r="BV94" s="689"/>
      <c r="BW94" s="689"/>
      <c r="BX94" s="689"/>
      <c r="BY94" s="689"/>
      <c r="BZ94" s="689"/>
    </row>
    <row r="95" spans="1:78" x14ac:dyDescent="0.15">
      <c r="A95" s="633"/>
      <c r="C95" s="636" t="s">
        <v>202</v>
      </c>
      <c r="D95" s="302">
        <v>360</v>
      </c>
      <c r="E95" s="302">
        <v>360</v>
      </c>
      <c r="F95" s="33">
        <f>IF(F92*12=$D$99,(E104*$E$93)-F94,0)</f>
        <v>0</v>
      </c>
      <c r="G95" s="295">
        <f>IF(G92=$D$99+1,(F104*$E$93)-G94,IF(G92=$E$99+1,(F104*$E$93)-G94,0))</f>
        <v>0</v>
      </c>
      <c r="H95" s="295">
        <f t="shared" ref="H95:M95" si="180">IF(H92=$D$99+1,(G104*$E$93)-H94,IF(H92=$E$99+1,(G104*$E$93)-H94,0))</f>
        <v>0</v>
      </c>
      <c r="I95" s="295">
        <f t="shared" si="180"/>
        <v>0</v>
      </c>
      <c r="J95" s="295">
        <f t="shared" si="180"/>
        <v>0</v>
      </c>
      <c r="K95" s="295">
        <f t="shared" ca="1" si="180"/>
        <v>5080403.9485549368</v>
      </c>
      <c r="L95" s="295">
        <f t="shared" si="180"/>
        <v>0</v>
      </c>
      <c r="M95" s="295">
        <f t="shared" si="180"/>
        <v>0</v>
      </c>
      <c r="N95" s="295">
        <f t="shared" ref="N95" si="181">IF(N92=$D$99+1,(M104*$E$93)-N94,IF(N92=$E$99+1,(M104*$E$93)-N94,0))</f>
        <v>0</v>
      </c>
      <c r="O95" s="295">
        <f t="shared" ref="O95" si="182">IF(O92=$D$99+1,(N104*$E$93)-O94,IF(O92=$E$99+1,(N104*$E$93)-O94,0))</f>
        <v>0</v>
      </c>
      <c r="P95" s="295">
        <f t="shared" ref="P95" si="183">IF(P92=$D$99+1,(O104*$E$93)-P94,IF(P92=$E$99+1,(O104*$E$93)-P94,0))</f>
        <v>0</v>
      </c>
      <c r="Q95" s="295">
        <f t="shared" ref="Q95" si="184">IF(Q92=$D$99+1,(P104*$E$93)-Q94,IF(Q92=$E$99+1,(P104*$E$93)-Q94,0))</f>
        <v>0</v>
      </c>
      <c r="R95" s="295">
        <f t="shared" ref="R95" si="185">IF(R92=$D$99+1,(Q104*$E$93)-R94,IF(R92=$E$99+1,(Q104*$E$93)-R94,0))</f>
        <v>0</v>
      </c>
      <c r="S95" s="295">
        <f t="shared" ref="S95" si="186">IF(S92=$D$99+1,(R104*$E$93)-S94,IF(S92=$E$99+1,(R104*$E$93)-S94,0))</f>
        <v>0</v>
      </c>
      <c r="T95" s="295">
        <f t="shared" ref="T95" si="187">IF(T92=$D$99+1,(S104*$E$93)-T94,IF(T92=$E$99+1,(S104*$E$93)-T94,0))</f>
        <v>0</v>
      </c>
      <c r="U95" s="295">
        <f t="shared" ref="U95" si="188">IF(U92=$D$99+1,(T104*$E$93)-U94,IF(U92=$E$99+1,(T104*$E$93)-U94,0))</f>
        <v>0</v>
      </c>
      <c r="V95" s="295">
        <f t="shared" ref="V95" si="189">IF(V92=$D$99+1,(U104*$E$93)-V94,IF(V92=$E$99+1,(U104*$E$93)-V94,0))</f>
        <v>0</v>
      </c>
      <c r="W95" s="295">
        <f t="shared" ref="W95" si="190">IF(W92=$D$99+1,(V104*$E$93)-W94,IF(W92=$E$99+1,(V104*$E$93)-W94,0))</f>
        <v>0</v>
      </c>
      <c r="X95" s="295">
        <f t="shared" ref="X95" si="191">IF(X92=$D$99+1,(W104*$E$93)-X94,IF(X92=$E$99+1,(W104*$E$93)-X94,0))</f>
        <v>0</v>
      </c>
      <c r="Y95" s="295">
        <f t="shared" ref="Y95" si="192">IF(Y92=$D$99+1,(X104*$E$93)-Y94,IF(Y92=$E$99+1,(X104*$E$93)-Y94,0))</f>
        <v>0</v>
      </c>
      <c r="Z95" s="295">
        <f t="shared" ref="Z95" si="193">IF(Z92=$D$99+1,(Y104*$E$93)-Z94,IF(Z92=$E$99+1,(Y104*$E$93)-Z94,0))</f>
        <v>0</v>
      </c>
      <c r="AA95" s="295">
        <f t="shared" ref="AA95" si="194">IF(AA92=$D$99+1,(Z104*$E$93)-AA94,IF(AA92=$E$99+1,(Z104*$E$93)-AA94,0))</f>
        <v>0</v>
      </c>
      <c r="AB95" s="295">
        <f t="shared" ref="AB95" si="195">IF(AB92=$D$99+1,(AA104*$E$93)-AB94,IF(AB92=$E$99+1,(AA104*$E$93)-AB94,0))</f>
        <v>0</v>
      </c>
      <c r="AC95" s="295">
        <f t="shared" ref="AC95" si="196">IF(AC92=$D$99+1,(AB104*$E$93)-AC94,IF(AC92=$E$99+1,(AB104*$E$93)-AC94,0))</f>
        <v>0</v>
      </c>
      <c r="AD95" s="295">
        <f t="shared" ref="AD95" si="197">IF(AD92=$D$99+1,(AC104*$E$93)-AD94,IF(AD92=$E$99+1,(AC104*$E$93)-AD94,0))</f>
        <v>0</v>
      </c>
      <c r="AE95" s="295">
        <f t="shared" ref="AE95" si="198">IF(AE92=$D$99+1,(AD104*$E$93)-AE94,IF(AE92=$E$99+1,(AD104*$E$93)-AE94,0))</f>
        <v>0</v>
      </c>
      <c r="AF95" s="295">
        <f t="shared" ref="AF95" si="199">IF(AF92=$D$99+1,(AE104*$E$93)-AF94,IF(AF92=$E$99+1,(AE104*$E$93)-AF94,0))</f>
        <v>0</v>
      </c>
      <c r="AG95" s="295">
        <f t="shared" ref="AG95" si="200">IF(AG92=$D$99+1,(AF104*$E$93)-AG94,IF(AG92=$E$99+1,(AF104*$E$93)-AG94,0))</f>
        <v>0</v>
      </c>
      <c r="AH95" s="295">
        <f t="shared" ref="AH95" si="201">IF(AH92=$D$99+1,(AG104*$E$93)-AH94,IF(AH92=$E$99+1,(AG104*$E$93)-AH94,0))</f>
        <v>0</v>
      </c>
      <c r="AI95" s="295">
        <f t="shared" ref="AI95" si="202">IF(AI92=$D$99+1,(AH104*$E$93)-AI94,IF(AI92=$E$99+1,(AH104*$E$93)-AI94,0))</f>
        <v>0</v>
      </c>
      <c r="AJ95" s="295">
        <f t="shared" ref="AJ95" si="203">IF(AJ92=$D$99+1,(AI104*$E$93)-AJ94,IF(AJ92=$E$99+1,(AI104*$E$93)-AJ94,0))</f>
        <v>0</v>
      </c>
      <c r="AK95" s="689"/>
      <c r="AL95" s="689"/>
      <c r="AM95" s="689"/>
      <c r="AN95" s="689"/>
      <c r="AO95" s="689"/>
      <c r="AP95" s="689"/>
      <c r="AQ95" s="689"/>
      <c r="AR95" s="689"/>
      <c r="AS95" s="689"/>
      <c r="AT95" s="689"/>
      <c r="AU95" s="689"/>
      <c r="AV95" s="689"/>
      <c r="AW95" s="689"/>
      <c r="AX95" s="689"/>
      <c r="AY95" s="689"/>
      <c r="AZ95" s="689"/>
      <c r="BA95" s="689"/>
      <c r="BB95" s="689"/>
      <c r="BC95" s="689"/>
      <c r="BD95" s="689"/>
      <c r="BE95" s="689"/>
      <c r="BF95" s="689"/>
      <c r="BG95" s="689"/>
      <c r="BH95" s="689"/>
      <c r="BI95" s="689"/>
      <c r="BJ95" s="689"/>
      <c r="BK95" s="689"/>
      <c r="BL95" s="689"/>
      <c r="BM95" s="689"/>
      <c r="BN95" s="689"/>
      <c r="BO95" s="689"/>
      <c r="BP95" s="689"/>
      <c r="BQ95" s="689"/>
      <c r="BR95" s="689"/>
      <c r="BS95" s="689"/>
      <c r="BT95" s="689"/>
      <c r="BU95" s="689"/>
      <c r="BV95" s="689"/>
      <c r="BW95" s="689"/>
      <c r="BX95" s="689"/>
      <c r="BY95" s="689"/>
      <c r="BZ95" s="689"/>
    </row>
    <row r="96" spans="1:78" x14ac:dyDescent="0.15">
      <c r="A96" s="633"/>
      <c r="C96" s="32" t="s">
        <v>204</v>
      </c>
      <c r="D96" s="768" t="s">
        <v>205</v>
      </c>
      <c r="E96" s="768" t="s">
        <v>205</v>
      </c>
      <c r="F96" s="33">
        <f>IF(D102&lt;F92,-PMT((($D$97/360)*365.25/12),$D$95,$D$6*$D$93,,0)*12,F98)</f>
        <v>196209.80598874314</v>
      </c>
      <c r="G96" s="295">
        <f t="shared" ref="G96:AH96" si="204">IF(G92&gt;$E$99,-PMT((($E$97/360)*365.25/12),$E$95,INDEX($F$93:$AH$93,1,$E$99+1),,0)*12,IF(G92&gt;$D$99,-PMT((($E$97/360)*365.25/12),$E$95,INDEX($F$93:$AH$93,1,$D$99+1),,0)*12,IF($D$102&gt;=G92,G98,-PMT((($D$97/360)*365.25/12),$D$95,$D$6*$D$93,,0)*12)))</f>
        <v>196209.80598874314</v>
      </c>
      <c r="H96" s="295">
        <f t="shared" si="204"/>
        <v>196209.80598874314</v>
      </c>
      <c r="I96" s="295">
        <f t="shared" si="204"/>
        <v>196209.80598874314</v>
      </c>
      <c r="J96" s="295">
        <f t="shared" si="204"/>
        <v>196209.80598874314</v>
      </c>
      <c r="K96" s="295">
        <f t="shared" ca="1" si="204"/>
        <v>543880.36521795078</v>
      </c>
      <c r="L96" s="295">
        <f t="shared" ca="1" si="204"/>
        <v>543880.36521795078</v>
      </c>
      <c r="M96" s="295">
        <f t="shared" ca="1" si="204"/>
        <v>543880.36521795078</v>
      </c>
      <c r="N96" s="295">
        <f t="shared" ca="1" si="204"/>
        <v>543880.36521795078</v>
      </c>
      <c r="O96" s="295">
        <f t="shared" ca="1" si="204"/>
        <v>543880.36521795078</v>
      </c>
      <c r="P96" s="295">
        <f t="shared" ca="1" si="204"/>
        <v>543880.36521795078</v>
      </c>
      <c r="Q96" s="295">
        <f t="shared" ca="1" si="204"/>
        <v>543880.36521795078</v>
      </c>
      <c r="R96" s="295">
        <f t="shared" ca="1" si="204"/>
        <v>543880.36521795078</v>
      </c>
      <c r="S96" s="295">
        <f t="shared" ca="1" si="204"/>
        <v>543880.36521795078</v>
      </c>
      <c r="T96" s="295">
        <f t="shared" ca="1" si="204"/>
        <v>543880.36521795078</v>
      </c>
      <c r="U96" s="295">
        <f t="shared" ca="1" si="204"/>
        <v>543880.36521795078</v>
      </c>
      <c r="V96" s="295">
        <f t="shared" ca="1" si="204"/>
        <v>543880.36521795078</v>
      </c>
      <c r="W96" s="295">
        <f t="shared" ca="1" si="204"/>
        <v>543880.36521795078</v>
      </c>
      <c r="X96" s="295">
        <f t="shared" ca="1" si="204"/>
        <v>543880.36521795078</v>
      </c>
      <c r="Y96" s="295">
        <f t="shared" ca="1" si="204"/>
        <v>543880.36521795078</v>
      </c>
      <c r="Z96" s="295">
        <f t="shared" ca="1" si="204"/>
        <v>543880.36521795078</v>
      </c>
      <c r="AA96" s="295">
        <f t="shared" ca="1" si="204"/>
        <v>543880.36521795078</v>
      </c>
      <c r="AB96" s="295">
        <f t="shared" ca="1" si="204"/>
        <v>543880.36521795078</v>
      </c>
      <c r="AC96" s="295">
        <f t="shared" ca="1" si="204"/>
        <v>543880.36521795078</v>
      </c>
      <c r="AD96" s="295">
        <f t="shared" ca="1" si="204"/>
        <v>543880.36521795078</v>
      </c>
      <c r="AE96" s="295">
        <f t="shared" ca="1" si="204"/>
        <v>543880.36521795078</v>
      </c>
      <c r="AF96" s="295">
        <f t="shared" ca="1" si="204"/>
        <v>543880.36521795078</v>
      </c>
      <c r="AG96" s="295">
        <f t="shared" ca="1" si="204"/>
        <v>543880.36521795078</v>
      </c>
      <c r="AH96" s="295">
        <f t="shared" ca="1" si="204"/>
        <v>543880.36521795078</v>
      </c>
      <c r="AI96" s="295">
        <f t="shared" ref="AI96:AJ96" ca="1" si="205">IF(AI92&gt;$E$99,-PMT((($E$97/360)*365.25/12),$E$95,INDEX($F$93:$AH$93,1,$E$99+1),,0)*12,IF(AI92&gt;$D$99,-PMT((($E$97/360)*365.25/12),$E$95,INDEX($F$93:$AH$93,1,$D$99+1),,0)*12,IF($D$102&gt;=AI92,AI98,-PMT((($D$97/360)*365.25/12),$D$95,$D$6*$D$93,,0)*12)))</f>
        <v>543880.36521795078</v>
      </c>
      <c r="AJ96" s="295">
        <f t="shared" ca="1" si="205"/>
        <v>543880.36521795078</v>
      </c>
      <c r="AK96" s="689"/>
      <c r="AL96" s="689"/>
      <c r="AM96" s="689"/>
      <c r="AN96" s="689"/>
      <c r="AO96" s="689"/>
      <c r="AP96" s="689"/>
      <c r="AQ96" s="689"/>
      <c r="AR96" s="689"/>
      <c r="AS96" s="689"/>
      <c r="AT96" s="689"/>
      <c r="AU96" s="689"/>
      <c r="AV96" s="689"/>
      <c r="AW96" s="689"/>
      <c r="AX96" s="689"/>
      <c r="AY96" s="689"/>
      <c r="AZ96" s="689"/>
      <c r="BA96" s="689"/>
      <c r="BB96" s="689"/>
      <c r="BC96" s="689"/>
      <c r="BD96" s="689"/>
      <c r="BE96" s="689"/>
      <c r="BF96" s="689"/>
      <c r="BG96" s="689"/>
      <c r="BH96" s="689"/>
      <c r="BI96" s="689"/>
      <c r="BJ96" s="689"/>
      <c r="BK96" s="689"/>
      <c r="BL96" s="689"/>
      <c r="BM96" s="689"/>
      <c r="BN96" s="689"/>
      <c r="BO96" s="689"/>
      <c r="BP96" s="689"/>
      <c r="BQ96" s="689"/>
      <c r="BR96" s="689"/>
      <c r="BS96" s="689"/>
      <c r="BT96" s="689"/>
      <c r="BU96" s="689"/>
      <c r="BV96" s="689"/>
      <c r="BW96" s="689"/>
      <c r="BX96" s="689"/>
      <c r="BY96" s="689"/>
      <c r="BZ96" s="689"/>
    </row>
    <row r="97" spans="3:78" x14ac:dyDescent="0.15">
      <c r="C97" s="32" t="s">
        <v>206</v>
      </c>
      <c r="D97" s="304">
        <v>5.6250000000000001E-2</v>
      </c>
      <c r="E97" s="305">
        <v>5.7500000000000002E-2</v>
      </c>
      <c r="F97" s="33">
        <f t="shared" ref="F97" si="206">F96-F98</f>
        <v>35556.876301243145</v>
      </c>
      <c r="G97" s="33">
        <f t="shared" ref="G97:AH97" si="207">G96-G98</f>
        <v>37586.11834327894</v>
      </c>
      <c r="H97" s="33">
        <f t="shared" si="207"/>
        <v>39731.169862791838</v>
      </c>
      <c r="I97" s="33">
        <f t="shared" si="207"/>
        <v>41998.640142851946</v>
      </c>
      <c r="J97" s="33">
        <f t="shared" si="207"/>
        <v>44395.515660379548</v>
      </c>
      <c r="K97" s="33">
        <f t="shared" ca="1" si="207"/>
        <v>94899.036197297508</v>
      </c>
      <c r="L97" s="33">
        <f t="shared" ca="1" si="207"/>
        <v>100435.30757462</v>
      </c>
      <c r="M97" s="33">
        <f t="shared" ca="1" si="207"/>
        <v>106294.55695036647</v>
      </c>
      <c r="N97" s="33">
        <f t="shared" ca="1" si="207"/>
        <v>112495.62638995523</v>
      </c>
      <c r="O97" s="33">
        <f t="shared" ca="1" si="207"/>
        <v>119058.45717742341</v>
      </c>
      <c r="P97" s="33">
        <f t="shared" ca="1" si="207"/>
        <v>126004.15394223761</v>
      </c>
      <c r="Q97" s="33">
        <f t="shared" ca="1" si="207"/>
        <v>133355.05252716993</v>
      </c>
      <c r="R97" s="33">
        <f t="shared" ca="1" si="207"/>
        <v>141134.79181548674</v>
      </c>
      <c r="S97" s="33">
        <f t="shared" ca="1" si="207"/>
        <v>149368.38974843081</v>
      </c>
      <c r="T97" s="33">
        <f t="shared" ca="1" si="207"/>
        <v>158082.32377745258</v>
      </c>
      <c r="U97" s="33">
        <f t="shared" ca="1" si="207"/>
        <v>167304.61600990692</v>
      </c>
      <c r="V97" s="33">
        <f t="shared" ca="1" si="207"/>
        <v>177064.92332202656</v>
      </c>
      <c r="W97" s="33">
        <f t="shared" ca="1" si="207"/>
        <v>187394.63272895373</v>
      </c>
      <c r="X97" s="33">
        <f t="shared" ca="1" si="207"/>
        <v>198326.96231852152</v>
      </c>
      <c r="Y97" s="33">
        <f t="shared" ca="1" si="207"/>
        <v>209897.06807336403</v>
      </c>
      <c r="Z97" s="33">
        <f t="shared" ca="1" si="207"/>
        <v>222142.15692487318</v>
      </c>
      <c r="AA97" s="33">
        <f t="shared" ca="1" si="207"/>
        <v>235101.6064025581</v>
      </c>
      <c r="AB97" s="33">
        <f t="shared" ca="1" si="207"/>
        <v>248817.09126357402</v>
      </c>
      <c r="AC97" s="33">
        <f t="shared" ca="1" si="207"/>
        <v>263332.71750963281</v>
      </c>
      <c r="AD97" s="33">
        <f t="shared" ca="1" si="207"/>
        <v>278695.16422226507</v>
      </c>
      <c r="AE97" s="33">
        <f t="shared" ca="1" si="207"/>
        <v>294953.83367254422</v>
      </c>
      <c r="AF97" s="33">
        <f t="shared" ca="1" si="207"/>
        <v>312161.01018799294</v>
      </c>
      <c r="AG97" s="33">
        <f t="shared" ca="1" si="207"/>
        <v>330372.02828755393</v>
      </c>
      <c r="AH97" s="33">
        <f t="shared" ca="1" si="207"/>
        <v>349645.45062530861</v>
      </c>
      <c r="AI97" s="33">
        <f t="shared" ref="AI97:AJ97" ca="1" si="208">AI96-AI98</f>
        <v>370043.25631517358</v>
      </c>
      <c r="AJ97" s="33">
        <f t="shared" ca="1" si="208"/>
        <v>391631.04024218535</v>
      </c>
      <c r="AK97" s="689"/>
      <c r="AL97" s="689"/>
      <c r="AM97" s="689"/>
      <c r="AN97" s="689"/>
      <c r="AO97" s="689"/>
      <c r="AP97" s="689"/>
      <c r="AQ97" s="689"/>
      <c r="AR97" s="689"/>
      <c r="AS97" s="689"/>
      <c r="AT97" s="689"/>
      <c r="AU97" s="689"/>
      <c r="AV97" s="689"/>
      <c r="AW97" s="689"/>
      <c r="AX97" s="689"/>
      <c r="AY97" s="689"/>
      <c r="AZ97" s="689"/>
      <c r="BA97" s="689"/>
      <c r="BB97" s="689"/>
      <c r="BC97" s="689"/>
      <c r="BD97" s="689"/>
      <c r="BE97" s="689"/>
      <c r="BF97" s="689"/>
      <c r="BG97" s="689"/>
      <c r="BH97" s="689"/>
      <c r="BI97" s="689"/>
      <c r="BJ97" s="689"/>
      <c r="BK97" s="689"/>
      <c r="BL97" s="689"/>
      <c r="BM97" s="689"/>
      <c r="BN97" s="689"/>
      <c r="BO97" s="689"/>
      <c r="BP97" s="689"/>
      <c r="BQ97" s="689"/>
      <c r="BR97" s="689"/>
      <c r="BS97" s="689"/>
      <c r="BT97" s="689"/>
      <c r="BU97" s="689"/>
      <c r="BV97" s="689"/>
      <c r="BW97" s="689"/>
      <c r="BX97" s="689"/>
      <c r="BY97" s="689"/>
      <c r="BZ97" s="689"/>
    </row>
    <row r="98" spans="3:78" x14ac:dyDescent="0.15">
      <c r="C98" s="32" t="s">
        <v>207</v>
      </c>
      <c r="D98" s="768" t="s">
        <v>208</v>
      </c>
      <c r="E98" s="768" t="s">
        <v>209</v>
      </c>
      <c r="F98" s="33">
        <f>IF(F92&gt;=$D$99+1,(F94+F95)*(($E$97/360)*365.25),(F94+F95)*(($D$97/360)*365.25))</f>
        <v>160652.9296875</v>
      </c>
      <c r="G98" s="33">
        <f t="shared" ref="G98:AH98" si="209">IF(G92&gt;=$D$99+1,(G94+G95)*(($E$97/360)*365.25),(G94+G95)*(($D$97/360)*365.25))</f>
        <v>158623.6876454642</v>
      </c>
      <c r="H98" s="33">
        <f t="shared" si="209"/>
        <v>156478.63612595131</v>
      </c>
      <c r="I98" s="33">
        <f t="shared" si="209"/>
        <v>154211.1658458912</v>
      </c>
      <c r="J98" s="33">
        <f t="shared" si="209"/>
        <v>151814.2903283636</v>
      </c>
      <c r="K98" s="33">
        <f t="shared" ca="1" si="209"/>
        <v>448981.32902065327</v>
      </c>
      <c r="L98" s="33">
        <f t="shared" ca="1" si="209"/>
        <v>443445.05764333077</v>
      </c>
      <c r="M98" s="33">
        <f t="shared" ca="1" si="209"/>
        <v>437585.8082675843</v>
      </c>
      <c r="N98" s="33">
        <f t="shared" ca="1" si="209"/>
        <v>431384.73882799555</v>
      </c>
      <c r="O98" s="33">
        <f t="shared" ca="1" si="209"/>
        <v>424821.90804052737</v>
      </c>
      <c r="P98" s="33">
        <f t="shared" ca="1" si="209"/>
        <v>417876.21127571317</v>
      </c>
      <c r="Q98" s="33">
        <f t="shared" ca="1" si="209"/>
        <v>410525.31269078085</v>
      </c>
      <c r="R98" s="33">
        <f t="shared" ca="1" si="209"/>
        <v>402745.57340246404</v>
      </c>
      <c r="S98" s="33">
        <f t="shared" ca="1" si="209"/>
        <v>394511.97546951997</v>
      </c>
      <c r="T98" s="33">
        <f t="shared" ca="1" si="209"/>
        <v>385798.0414404982</v>
      </c>
      <c r="U98" s="33">
        <f t="shared" ca="1" si="209"/>
        <v>376575.74920804385</v>
      </c>
      <c r="V98" s="33">
        <f t="shared" ca="1" si="209"/>
        <v>366815.44189592422</v>
      </c>
      <c r="W98" s="33">
        <f t="shared" ca="1" si="209"/>
        <v>356485.73248899705</v>
      </c>
      <c r="X98" s="33">
        <f t="shared" ca="1" si="209"/>
        <v>345553.40289942926</v>
      </c>
      <c r="Y98" s="33">
        <f t="shared" ca="1" si="209"/>
        <v>333983.29714458674</v>
      </c>
      <c r="Z98" s="33">
        <f t="shared" ca="1" si="209"/>
        <v>321738.20829307759</v>
      </c>
      <c r="AA98" s="33">
        <f t="shared" ca="1" si="209"/>
        <v>308778.75881539268</v>
      </c>
      <c r="AB98" s="33">
        <f t="shared" ca="1" si="209"/>
        <v>295063.27395437675</v>
      </c>
      <c r="AC98" s="33">
        <f t="shared" ca="1" si="209"/>
        <v>280547.64770831796</v>
      </c>
      <c r="AD98" s="33">
        <f t="shared" ca="1" si="209"/>
        <v>265185.20099568571</v>
      </c>
      <c r="AE98" s="33">
        <f t="shared" ca="1" si="209"/>
        <v>248926.53154540659</v>
      </c>
      <c r="AF98" s="33">
        <f t="shared" ca="1" si="209"/>
        <v>231719.35502995781</v>
      </c>
      <c r="AG98" s="33">
        <f t="shared" ca="1" si="209"/>
        <v>213508.33693039682</v>
      </c>
      <c r="AH98" s="33">
        <f t="shared" ca="1" si="209"/>
        <v>194234.91459264216</v>
      </c>
      <c r="AI98" s="33">
        <f t="shared" ref="AI98:AJ98" ca="1" si="210">IF(AI92&gt;=$D$99+1,(AI94+AI95)*(($E$97/360)*365.25),(AI94+AI95)*(($D$97/360)*365.25))</f>
        <v>173837.10890277717</v>
      </c>
      <c r="AJ98" s="33">
        <f t="shared" ca="1" si="210"/>
        <v>152249.3249757654</v>
      </c>
      <c r="AK98" s="689"/>
      <c r="AL98" s="689"/>
      <c r="AM98" s="689"/>
      <c r="AN98" s="689"/>
      <c r="AO98" s="689"/>
      <c r="AP98" s="689"/>
      <c r="AQ98" s="689"/>
      <c r="AR98" s="689"/>
      <c r="AS98" s="689"/>
      <c r="AT98" s="689"/>
      <c r="AU98" s="689"/>
      <c r="AV98" s="689"/>
      <c r="AW98" s="689"/>
      <c r="AX98" s="689"/>
      <c r="AY98" s="689"/>
      <c r="AZ98" s="689"/>
      <c r="BA98" s="689"/>
      <c r="BB98" s="689"/>
      <c r="BC98" s="689"/>
      <c r="BD98" s="689"/>
      <c r="BE98" s="689"/>
      <c r="BF98" s="689"/>
      <c r="BG98" s="689"/>
      <c r="BH98" s="689"/>
      <c r="BI98" s="689"/>
      <c r="BJ98" s="689"/>
      <c r="BK98" s="689"/>
      <c r="BL98" s="689"/>
      <c r="BM98" s="689"/>
      <c r="BN98" s="689"/>
      <c r="BO98" s="689"/>
      <c r="BP98" s="689"/>
      <c r="BQ98" s="689"/>
      <c r="BR98" s="689"/>
      <c r="BS98" s="689"/>
      <c r="BT98" s="689"/>
      <c r="BU98" s="689"/>
      <c r="BV98" s="689"/>
      <c r="BW98" s="689"/>
      <c r="BX98" s="689"/>
      <c r="BY98" s="689"/>
      <c r="BZ98" s="689"/>
    </row>
    <row r="99" spans="3:78" ht="14" thickBot="1" x14ac:dyDescent="0.2">
      <c r="C99" s="32" t="s">
        <v>210</v>
      </c>
      <c r="D99" s="303">
        <v>5</v>
      </c>
      <c r="E99" s="302">
        <v>31</v>
      </c>
      <c r="F99" s="770">
        <f t="shared" ref="F99:AH99" si="211">F94-F97+F95</f>
        <v>2779443.123698757</v>
      </c>
      <c r="G99" s="771">
        <f t="shared" si="211"/>
        <v>2741857.0053554783</v>
      </c>
      <c r="H99" s="771">
        <f t="shared" si="211"/>
        <v>2702125.8354926864</v>
      </c>
      <c r="I99" s="771">
        <f t="shared" si="211"/>
        <v>2660127.1953498344</v>
      </c>
      <c r="J99" s="771">
        <f t="shared" si="211"/>
        <v>2615731.6796894548</v>
      </c>
      <c r="K99" s="772">
        <f t="shared" ca="1" si="211"/>
        <v>7601236.5920470944</v>
      </c>
      <c r="L99" s="772">
        <f t="shared" ca="1" si="211"/>
        <v>7500801.2844724748</v>
      </c>
      <c r="M99" s="772">
        <f t="shared" ca="1" si="211"/>
        <v>7394506.7275221087</v>
      </c>
      <c r="N99" s="772">
        <f t="shared" ca="1" si="211"/>
        <v>7282011.1011321535</v>
      </c>
      <c r="O99" s="772">
        <f t="shared" ca="1" si="211"/>
        <v>7162952.6439547297</v>
      </c>
      <c r="P99" s="772">
        <f t="shared" ca="1" si="211"/>
        <v>7036948.4900124921</v>
      </c>
      <c r="Q99" s="772">
        <f t="shared" ca="1" si="211"/>
        <v>6903593.4374853224</v>
      </c>
      <c r="R99" s="772">
        <f t="shared" ca="1" si="211"/>
        <v>6762458.6456698356</v>
      </c>
      <c r="S99" s="772">
        <f t="shared" ca="1" si="211"/>
        <v>6613090.2559214048</v>
      </c>
      <c r="T99" s="772">
        <f t="shared" ca="1" si="211"/>
        <v>6455007.9321439527</v>
      </c>
      <c r="U99" s="772">
        <f t="shared" ca="1" si="211"/>
        <v>6287703.3161340458</v>
      </c>
      <c r="V99" s="772">
        <f t="shared" ca="1" si="211"/>
        <v>6110638.3928120192</v>
      </c>
      <c r="W99" s="772">
        <f t="shared" ca="1" si="211"/>
        <v>5923243.7600830654</v>
      </c>
      <c r="X99" s="772">
        <f t="shared" ca="1" si="211"/>
        <v>5724916.7977645434</v>
      </c>
      <c r="Y99" s="772">
        <f t="shared" ca="1" si="211"/>
        <v>5515019.7296911795</v>
      </c>
      <c r="Z99" s="772">
        <f t="shared" ca="1" si="211"/>
        <v>5292877.5727663059</v>
      </c>
      <c r="AA99" s="772">
        <f t="shared" ca="1" si="211"/>
        <v>5057775.9663637476</v>
      </c>
      <c r="AB99" s="772">
        <f t="shared" ca="1" si="211"/>
        <v>4808958.875100174</v>
      </c>
      <c r="AC99" s="772">
        <f t="shared" ca="1" si="211"/>
        <v>4545626.1575905411</v>
      </c>
      <c r="AD99" s="772">
        <f t="shared" ca="1" si="211"/>
        <v>4266930.9933682764</v>
      </c>
      <c r="AE99" s="772">
        <f t="shared" ca="1" si="211"/>
        <v>3971977.1596957324</v>
      </c>
      <c r="AF99" s="772">
        <f t="shared" ca="1" si="211"/>
        <v>3659816.1495077396</v>
      </c>
      <c r="AG99" s="772">
        <f t="shared" ca="1" si="211"/>
        <v>3329444.1212201854</v>
      </c>
      <c r="AH99" s="772">
        <f t="shared" ca="1" si="211"/>
        <v>2979798.6705948766</v>
      </c>
      <c r="AI99" s="772">
        <f t="shared" ref="AI99:AJ99" ca="1" si="212">AI94-AI97+AI95</f>
        <v>2609755.4142797031</v>
      </c>
      <c r="AJ99" s="772">
        <f t="shared" ca="1" si="212"/>
        <v>2218124.3740375177</v>
      </c>
      <c r="AK99" s="689"/>
      <c r="AL99" s="689"/>
      <c r="AM99" s="689"/>
      <c r="AN99" s="689"/>
      <c r="AO99" s="689"/>
      <c r="AP99" s="689"/>
      <c r="AQ99" s="689"/>
      <c r="AR99" s="689"/>
      <c r="AS99" s="689"/>
      <c r="AT99" s="689"/>
      <c r="AU99" s="689"/>
      <c r="AV99" s="689"/>
      <c r="AW99" s="689"/>
      <c r="AX99" s="689"/>
      <c r="AY99" s="689"/>
      <c r="AZ99" s="689"/>
      <c r="BA99" s="689"/>
      <c r="BB99" s="689"/>
      <c r="BC99" s="689"/>
      <c r="BD99" s="689"/>
      <c r="BE99" s="689"/>
      <c r="BF99" s="689"/>
      <c r="BG99" s="689"/>
      <c r="BH99" s="689"/>
      <c r="BI99" s="689"/>
      <c r="BJ99" s="689"/>
      <c r="BK99" s="689"/>
      <c r="BL99" s="689"/>
      <c r="BM99" s="689"/>
      <c r="BN99" s="689"/>
      <c r="BO99" s="689"/>
      <c r="BP99" s="689"/>
      <c r="BQ99" s="689"/>
      <c r="BR99" s="689"/>
      <c r="BS99" s="689"/>
      <c r="BT99" s="689"/>
      <c r="BU99" s="689"/>
      <c r="BV99" s="689"/>
      <c r="BW99" s="689"/>
      <c r="BX99" s="689"/>
      <c r="BY99" s="689"/>
      <c r="BZ99" s="689"/>
    </row>
    <row r="100" spans="3:78" ht="14" thickTop="1" x14ac:dyDescent="0.15">
      <c r="C100" s="633"/>
      <c r="D100" s="768" t="s">
        <v>211</v>
      </c>
      <c r="E100" s="237" t="s">
        <v>212</v>
      </c>
      <c r="F100" s="238">
        <f t="shared" ref="F100:L100" ca="1" si="213">F85/(F96/12)</f>
        <v>0.77792750077311135</v>
      </c>
      <c r="G100" s="238">
        <f t="shared" ca="1" si="213"/>
        <v>1.3363239450684887</v>
      </c>
      <c r="H100" s="238">
        <f t="shared" ca="1" si="213"/>
        <v>1.9756366212514347</v>
      </c>
      <c r="I100" s="238">
        <f t="shared" ca="1" si="213"/>
        <v>2.6473426291089686</v>
      </c>
      <c r="J100" s="238">
        <f t="shared" ca="1" si="213"/>
        <v>3.3189547941014981</v>
      </c>
      <c r="K100" s="238">
        <f ca="1">J85/(K96/12)</f>
        <v>1.1973432355387605</v>
      </c>
      <c r="L100" s="238">
        <f t="shared" ca="1" si="213"/>
        <v>1.312151259431505</v>
      </c>
      <c r="M100" s="238">
        <f ca="1">L85/(M96/12)</f>
        <v>1.312151259431505</v>
      </c>
      <c r="N100" s="238">
        <f t="shared" ref="N100:AH100" ca="1" si="214">N85/(N96/12)</f>
        <v>1.4370186526351578</v>
      </c>
      <c r="O100" s="238">
        <f t="shared" ca="1" si="214"/>
        <v>1.5034871670859897</v>
      </c>
      <c r="P100" s="238">
        <f t="shared" ca="1" si="214"/>
        <v>1.5727941774817635</v>
      </c>
      <c r="Q100" s="238">
        <f t="shared" ca="1" si="214"/>
        <v>1.6450568187676151</v>
      </c>
      <c r="R100" s="238">
        <f t="shared" ca="1" si="214"/>
        <v>1.7203969831886332</v>
      </c>
      <c r="S100" s="238">
        <f t="shared" ca="1" si="214"/>
        <v>1.798941512019897</v>
      </c>
      <c r="T100" s="238">
        <f t="shared" ca="1" si="214"/>
        <v>1.8808223949944862</v>
      </c>
      <c r="U100" s="238">
        <f t="shared" ca="1" si="214"/>
        <v>1.9661769777379343</v>
      </c>
      <c r="V100" s="238">
        <f t="shared" ca="1" si="214"/>
        <v>2.0551481775299942</v>
      </c>
      <c r="W100" s="238">
        <f t="shared" ca="1" si="214"/>
        <v>2.1478847077273868</v>
      </c>
      <c r="X100" s="238">
        <f t="shared" ca="1" si="214"/>
        <v>2.2445413111946007</v>
      </c>
      <c r="Y100" s="238">
        <f t="shared" ca="1" si="214"/>
        <v>2.3452790031036641</v>
      </c>
      <c r="Z100" s="238">
        <f t="shared" ca="1" si="214"/>
        <v>2.4502653234783147</v>
      </c>
      <c r="AA100" s="238">
        <f t="shared" ca="1" si="214"/>
        <v>2.5596745998729631</v>
      </c>
      <c r="AB100" s="238">
        <f t="shared" ca="1" si="214"/>
        <v>2.6736882205925072</v>
      </c>
      <c r="AC100" s="238">
        <f t="shared" ca="1" si="214"/>
        <v>2.7924949188753261</v>
      </c>
      <c r="AD100" s="238">
        <f t="shared" ca="1" si="214"/>
        <v>2.9162910684786389</v>
      </c>
      <c r="AE100" s="238">
        <f t="shared" ca="1" si="214"/>
        <v>3.0452809911230512</v>
      </c>
      <c r="AF100" s="238">
        <f t="shared" ca="1" si="214"/>
        <v>3.1796772762713457</v>
      </c>
      <c r="AG100" s="238">
        <f t="shared" ca="1" si="214"/>
        <v>3.3197011137356385</v>
      </c>
      <c r="AH100" s="238">
        <f t="shared" ca="1" si="214"/>
        <v>3.465582639626771</v>
      </c>
      <c r="AI100" s="238">
        <f t="shared" ref="AI100:AJ100" ca="1" si="215">AI85/(AI96/12)</f>
        <v>3.6175612961803862</v>
      </c>
      <c r="AJ100" s="238">
        <f t="shared" ca="1" si="215"/>
        <v>3.7758862060155129</v>
      </c>
      <c r="AK100" s="689"/>
      <c r="AL100" s="689"/>
      <c r="AM100" s="689"/>
      <c r="AN100" s="689"/>
      <c r="AO100" s="689"/>
      <c r="AP100" s="689"/>
      <c r="AQ100" s="689"/>
      <c r="AR100" s="689"/>
      <c r="AS100" s="689"/>
      <c r="AT100" s="689"/>
      <c r="AU100" s="689"/>
      <c r="AV100" s="689"/>
      <c r="AW100" s="689"/>
      <c r="AX100" s="689"/>
      <c r="AY100" s="689"/>
      <c r="AZ100" s="689"/>
      <c r="BA100" s="689"/>
      <c r="BB100" s="689"/>
      <c r="BC100" s="689"/>
      <c r="BD100" s="689"/>
      <c r="BE100" s="689"/>
      <c r="BF100" s="689"/>
      <c r="BG100" s="689"/>
      <c r="BH100" s="689"/>
      <c r="BI100" s="689"/>
      <c r="BJ100" s="689"/>
      <c r="BK100" s="689"/>
      <c r="BL100" s="689"/>
      <c r="BM100" s="689"/>
      <c r="BN100" s="689"/>
      <c r="BO100" s="689"/>
      <c r="BP100" s="689"/>
      <c r="BQ100" s="689"/>
      <c r="BR100" s="689"/>
      <c r="BS100" s="689"/>
      <c r="BT100" s="689"/>
      <c r="BU100" s="689"/>
      <c r="BV100" s="689"/>
      <c r="BW100" s="689"/>
      <c r="BX100" s="689"/>
      <c r="BY100" s="689"/>
      <c r="BZ100" s="689"/>
    </row>
    <row r="101" spans="3:78" hidden="1" x14ac:dyDescent="0.15">
      <c r="C101" s="290" t="s">
        <v>213</v>
      </c>
      <c r="D101" s="354"/>
      <c r="E101" s="237" t="s">
        <v>214</v>
      </c>
      <c r="F101" s="238">
        <f t="shared" ref="F101:AH101" ca="1" si="216">(F85+((F108+F109)/12))/(F96/12)</f>
        <v>1.0542928930466811</v>
      </c>
      <c r="G101" s="238">
        <f t="shared" ca="1" si="216"/>
        <v>1.6126893373420583</v>
      </c>
      <c r="H101" s="238">
        <f t="shared" ca="1" si="216"/>
        <v>2.2520020135250043</v>
      </c>
      <c r="I101" s="238">
        <f t="shared" ca="1" si="216"/>
        <v>2.9237080213825384</v>
      </c>
      <c r="J101" s="238">
        <f t="shared" ca="1" si="216"/>
        <v>3.5953201863750683</v>
      </c>
      <c r="K101" s="238">
        <f t="shared" ca="1" si="216"/>
        <v>1.2535402736364187</v>
      </c>
      <c r="L101" s="238">
        <f t="shared" ca="1" si="216"/>
        <v>1.312151259431505</v>
      </c>
      <c r="M101" s="238">
        <f t="shared" ca="1" si="216"/>
        <v>1.3732760721553872</v>
      </c>
      <c r="N101" s="238">
        <f t="shared" ca="1" si="216"/>
        <v>1.4370186526351578</v>
      </c>
      <c r="O101" s="238">
        <f t="shared" ca="1" si="216"/>
        <v>1.5034871670859897</v>
      </c>
      <c r="P101" s="238">
        <f t="shared" ca="1" si="216"/>
        <v>1.5727941774817635</v>
      </c>
      <c r="Q101" s="238">
        <f t="shared" ca="1" si="216"/>
        <v>1.6450568187676151</v>
      </c>
      <c r="R101" s="238">
        <f t="shared" ca="1" si="216"/>
        <v>1.7203969831886332</v>
      </c>
      <c r="S101" s="238">
        <f t="shared" ca="1" si="216"/>
        <v>1.798941512019897</v>
      </c>
      <c r="T101" s="238">
        <f t="shared" ca="1" si="216"/>
        <v>1.8808223949944862</v>
      </c>
      <c r="U101" s="238">
        <f t="shared" ca="1" si="216"/>
        <v>1.9661769777379343</v>
      </c>
      <c r="V101" s="238">
        <f t="shared" ca="1" si="216"/>
        <v>2.0551481775299942</v>
      </c>
      <c r="W101" s="238">
        <f t="shared" ca="1" si="216"/>
        <v>2.1478847077273868</v>
      </c>
      <c r="X101" s="238">
        <f t="shared" ca="1" si="216"/>
        <v>2.2445413111946007</v>
      </c>
      <c r="Y101" s="238">
        <f t="shared" ca="1" si="216"/>
        <v>2.3452790031036641</v>
      </c>
      <c r="Z101" s="238">
        <f t="shared" ca="1" si="216"/>
        <v>2.4502653234783147</v>
      </c>
      <c r="AA101" s="238">
        <f t="shared" ca="1" si="216"/>
        <v>2.5596745998729631</v>
      </c>
      <c r="AB101" s="238">
        <f t="shared" ca="1" si="216"/>
        <v>2.6736882205925072</v>
      </c>
      <c r="AC101" s="238">
        <f t="shared" ca="1" si="216"/>
        <v>2.7924949188753261</v>
      </c>
      <c r="AD101" s="238">
        <f t="shared" ca="1" si="216"/>
        <v>2.9162910684786389</v>
      </c>
      <c r="AE101" s="238">
        <f t="shared" ca="1" si="216"/>
        <v>3.0452809911230512</v>
      </c>
      <c r="AF101" s="238">
        <f t="shared" ca="1" si="216"/>
        <v>3.1796772762713457</v>
      </c>
      <c r="AG101" s="238">
        <f t="shared" ca="1" si="216"/>
        <v>3.3197011137356385</v>
      </c>
      <c r="AH101" s="238">
        <f t="shared" ca="1" si="216"/>
        <v>3.465582639626771</v>
      </c>
      <c r="AI101" s="238">
        <f t="shared" ref="AI101:AJ101" ca="1" si="217">(AI85+((AI108+AI109)/12))/(AI96/12)</f>
        <v>3.6175612961803862</v>
      </c>
      <c r="AJ101" s="238">
        <f t="shared" ca="1" si="217"/>
        <v>3.7758862060155129</v>
      </c>
      <c r="AK101" s="689"/>
      <c r="AL101" s="689"/>
      <c r="AM101" s="689"/>
      <c r="AN101" s="689"/>
      <c r="AO101" s="689"/>
      <c r="AP101" s="689"/>
      <c r="AQ101" s="689"/>
      <c r="AR101" s="689"/>
      <c r="AS101" s="689"/>
      <c r="AT101" s="689"/>
      <c r="AU101" s="689"/>
      <c r="AV101" s="689"/>
      <c r="AW101" s="689"/>
      <c r="AX101" s="689"/>
      <c r="AY101" s="689"/>
      <c r="AZ101" s="689"/>
      <c r="BA101" s="689"/>
      <c r="BB101" s="689"/>
      <c r="BC101" s="689"/>
      <c r="BD101" s="689"/>
      <c r="BE101" s="689"/>
      <c r="BF101" s="689"/>
      <c r="BG101" s="689"/>
      <c r="BH101" s="689"/>
      <c r="BI101" s="689"/>
      <c r="BJ101" s="689"/>
      <c r="BK101" s="689"/>
      <c r="BL101" s="689"/>
      <c r="BM101" s="689"/>
      <c r="BN101" s="689"/>
      <c r="BO101" s="689"/>
      <c r="BP101" s="689"/>
      <c r="BQ101" s="689"/>
      <c r="BR101" s="689"/>
      <c r="BS101" s="689"/>
      <c r="BT101" s="689"/>
      <c r="BU101" s="689"/>
      <c r="BV101" s="689"/>
      <c r="BW101" s="689"/>
      <c r="BX101" s="689"/>
      <c r="BY101" s="689"/>
      <c r="BZ101" s="689"/>
    </row>
    <row r="102" spans="3:78" x14ac:dyDescent="0.15">
      <c r="C102" s="355" t="str">
        <f>IF(D102&gt;D99,"IO Years cannont be greater than 1st Refi Year","")</f>
        <v/>
      </c>
      <c r="D102" s="302">
        <v>0</v>
      </c>
      <c r="E102" s="237"/>
      <c r="F102" s="238"/>
      <c r="G102" s="238"/>
      <c r="H102" s="238"/>
      <c r="I102" s="238"/>
      <c r="J102" s="238"/>
      <c r="K102" s="238"/>
      <c r="L102" s="238"/>
      <c r="M102" s="238"/>
      <c r="N102" s="238"/>
      <c r="O102" s="238"/>
      <c r="P102" s="238"/>
      <c r="Q102" s="238"/>
      <c r="R102" s="238"/>
      <c r="S102" s="238"/>
      <c r="T102" s="238"/>
      <c r="U102" s="238"/>
      <c r="V102" s="238"/>
      <c r="W102" s="238"/>
      <c r="X102" s="238"/>
      <c r="Y102" s="238"/>
      <c r="Z102" s="238"/>
      <c r="AA102" s="238"/>
      <c r="AB102" s="238"/>
      <c r="AC102" s="238"/>
      <c r="AD102" s="238"/>
      <c r="AE102" s="238"/>
      <c r="AF102" s="238"/>
      <c r="AG102" s="238"/>
      <c r="AH102" s="238"/>
      <c r="AI102" s="238"/>
      <c r="AJ102" s="238"/>
      <c r="AK102" s="689"/>
      <c r="AL102" s="689"/>
      <c r="AM102" s="689"/>
      <c r="AN102" s="689"/>
      <c r="AO102" s="689"/>
      <c r="AP102" s="689"/>
      <c r="AQ102" s="689"/>
      <c r="AR102" s="689"/>
      <c r="AS102" s="689"/>
      <c r="AT102" s="689"/>
      <c r="AU102" s="689"/>
      <c r="AV102" s="689"/>
      <c r="AW102" s="689"/>
      <c r="AX102" s="689"/>
      <c r="AY102" s="689"/>
      <c r="AZ102" s="689"/>
      <c r="BA102" s="689"/>
      <c r="BB102" s="689"/>
      <c r="BC102" s="689"/>
      <c r="BD102" s="689"/>
      <c r="BE102" s="689"/>
      <c r="BF102" s="689"/>
      <c r="BG102" s="689"/>
      <c r="BH102" s="689"/>
      <c r="BI102" s="689"/>
      <c r="BJ102" s="689"/>
      <c r="BK102" s="689"/>
      <c r="BL102" s="689"/>
      <c r="BM102" s="689"/>
      <c r="BN102" s="689"/>
      <c r="BO102" s="689"/>
      <c r="BP102" s="689"/>
      <c r="BQ102" s="689"/>
      <c r="BR102" s="689"/>
      <c r="BS102" s="689"/>
      <c r="BT102" s="689"/>
      <c r="BU102" s="689"/>
      <c r="BV102" s="689"/>
      <c r="BW102" s="689"/>
      <c r="BX102" s="689"/>
      <c r="BY102" s="689"/>
      <c r="BZ102" s="689"/>
    </row>
    <row r="103" spans="3:78" x14ac:dyDescent="0.15">
      <c r="C103" s="633"/>
      <c r="D103" s="28"/>
      <c r="E103" s="1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689"/>
      <c r="AL103" s="689"/>
      <c r="AM103" s="689"/>
      <c r="AN103" s="689"/>
      <c r="AO103" s="689"/>
      <c r="AP103" s="689"/>
      <c r="AQ103" s="689"/>
      <c r="AR103" s="689"/>
      <c r="AS103" s="689"/>
      <c r="AT103" s="689"/>
      <c r="AU103" s="689"/>
      <c r="AV103" s="689"/>
      <c r="AW103" s="689"/>
      <c r="AX103" s="689"/>
      <c r="AY103" s="689"/>
      <c r="AZ103" s="689"/>
      <c r="BA103" s="689"/>
      <c r="BB103" s="689"/>
      <c r="BC103" s="689"/>
      <c r="BD103" s="689"/>
      <c r="BE103" s="689"/>
      <c r="BF103" s="689"/>
      <c r="BG103" s="689"/>
      <c r="BH103" s="689"/>
      <c r="BI103" s="689"/>
      <c r="BJ103" s="689"/>
      <c r="BK103" s="689"/>
      <c r="BL103" s="689"/>
      <c r="BM103" s="689"/>
      <c r="BN103" s="689"/>
      <c r="BO103" s="689"/>
      <c r="BP103" s="689"/>
      <c r="BQ103" s="689"/>
      <c r="BR103" s="689"/>
      <c r="BS103" s="689"/>
      <c r="BT103" s="689"/>
      <c r="BU103" s="689"/>
      <c r="BV103" s="689"/>
      <c r="BW103" s="689"/>
      <c r="BX103" s="689"/>
      <c r="BY103" s="689"/>
      <c r="BZ103" s="689"/>
    </row>
    <row r="104" spans="3:78" x14ac:dyDescent="0.15">
      <c r="C104" s="36" t="s">
        <v>215</v>
      </c>
      <c r="D104" s="773" t="s">
        <v>216</v>
      </c>
      <c r="E104" s="774">
        <v>5.5E-2</v>
      </c>
      <c r="F104" s="153">
        <f t="shared" ref="F104:AH104" ca="1" si="218">(F87/$E$104)</f>
        <v>2775218.2545454549</v>
      </c>
      <c r="G104" s="153">
        <f t="shared" ca="1" si="218"/>
        <v>4767270.2181818178</v>
      </c>
      <c r="H104" s="153">
        <f t="shared" ca="1" si="218"/>
        <v>7047986.8756363634</v>
      </c>
      <c r="I104" s="153">
        <f t="shared" ca="1" si="218"/>
        <v>9444265.1571490895</v>
      </c>
      <c r="J104" s="153">
        <f t="shared" ca="1" si="218"/>
        <v>11840208.658837525</v>
      </c>
      <c r="K104" s="153">
        <f t="shared" ca="1" si="218"/>
        <v>12395926.215287006</v>
      </c>
      <c r="L104" s="153">
        <f t="shared" ca="1" si="218"/>
        <v>12975514.658196382</v>
      </c>
      <c r="M104" s="153">
        <f t="shared" ca="1" si="218"/>
        <v>13579961.666708088</v>
      </c>
      <c r="N104" s="153">
        <f t="shared" ca="1" si="218"/>
        <v>14210295.084003948</v>
      </c>
      <c r="O104" s="153">
        <f t="shared" ca="1" si="218"/>
        <v>14867584.537004184</v>
      </c>
      <c r="P104" s="153">
        <f t="shared" ca="1" si="218"/>
        <v>15552943.121117236</v>
      </c>
      <c r="Q104" s="153">
        <f t="shared" ca="1" si="218"/>
        <v>16267529.152647469</v>
      </c>
      <c r="R104" s="153">
        <f t="shared" ca="1" si="218"/>
        <v>17012547.991572626</v>
      </c>
      <c r="S104" s="153">
        <f t="shared" ca="1" si="218"/>
        <v>17789253.937511168</v>
      </c>
      <c r="T104" s="153">
        <f t="shared" ca="1" si="218"/>
        <v>18598952.201812763</v>
      </c>
      <c r="U104" s="153">
        <f t="shared" ca="1" si="218"/>
        <v>19443000.958822444</v>
      </c>
      <c r="V104" s="153">
        <f t="shared" ca="1" si="218"/>
        <v>20322813.479491256</v>
      </c>
      <c r="W104" s="153">
        <f t="shared" ca="1" si="218"/>
        <v>21239860.350633137</v>
      </c>
      <c r="X104" s="153">
        <f t="shared" ca="1" si="218"/>
        <v>22195671.783259951</v>
      </c>
      <c r="Y104" s="153">
        <f t="shared" ca="1" si="218"/>
        <v>23191840.01356386</v>
      </c>
      <c r="Z104" s="153">
        <f t="shared" ca="1" si="218"/>
        <v>24230021.800259382</v>
      </c>
      <c r="AA104" s="153">
        <f t="shared" ca="1" si="218"/>
        <v>25311941.0221458</v>
      </c>
      <c r="AB104" s="153">
        <f t="shared" ca="1" si="218"/>
        <v>26439391.379905194</v>
      </c>
      <c r="AC104" s="153">
        <f t="shared" ca="1" si="218"/>
        <v>27614239.206312437</v>
      </c>
      <c r="AD104" s="153">
        <f t="shared" ca="1" si="218"/>
        <v>28838426.389200181</v>
      </c>
      <c r="AE104" s="153">
        <f t="shared" ca="1" si="218"/>
        <v>30113973.411696151</v>
      </c>
      <c r="AF104" s="153">
        <f t="shared" ca="1" si="218"/>
        <v>31442982.514430515</v>
      </c>
      <c r="AG104" s="153">
        <f t="shared" ca="1" si="218"/>
        <v>32827640.984599579</v>
      </c>
      <c r="AH104" s="153">
        <f t="shared" ca="1" si="218"/>
        <v>34270224.576967232</v>
      </c>
      <c r="AI104" s="153">
        <f t="shared" ref="AI104:AJ104" ca="1" si="219">(AI87/$E$104)</f>
        <v>35773101.072089307</v>
      </c>
      <c r="AJ104" s="153">
        <f t="shared" ca="1" si="219"/>
        <v>37338733.97725708</v>
      </c>
      <c r="AK104" s="689"/>
      <c r="AL104" s="689"/>
      <c r="AM104" s="689"/>
      <c r="AN104" s="689"/>
      <c r="AO104" s="689"/>
      <c r="AP104" s="689"/>
      <c r="AQ104" s="689"/>
      <c r="AR104" s="689"/>
      <c r="AS104" s="689"/>
      <c r="AT104" s="689"/>
      <c r="AU104" s="689"/>
      <c r="AV104" s="689"/>
      <c r="AW104" s="689"/>
      <c r="AX104" s="689"/>
      <c r="AY104" s="689"/>
      <c r="AZ104" s="689"/>
      <c r="BA104" s="689"/>
      <c r="BB104" s="689"/>
      <c r="BC104" s="689"/>
      <c r="BD104" s="689"/>
      <c r="BE104" s="689"/>
      <c r="BF104" s="689"/>
      <c r="BG104" s="689"/>
      <c r="BH104" s="689"/>
      <c r="BI104" s="689"/>
      <c r="BJ104" s="689"/>
      <c r="BK104" s="689"/>
      <c r="BL104" s="689"/>
      <c r="BM104" s="689"/>
      <c r="BN104" s="689"/>
      <c r="BO104" s="689"/>
      <c r="BP104" s="689"/>
      <c r="BQ104" s="689"/>
      <c r="BR104" s="689"/>
      <c r="BS104" s="689"/>
      <c r="BT104" s="689"/>
      <c r="BU104" s="689"/>
      <c r="BV104" s="689"/>
      <c r="BW104" s="689"/>
      <c r="BX104" s="689"/>
      <c r="BY104" s="689"/>
      <c r="BZ104" s="689"/>
    </row>
    <row r="105" spans="3:78" x14ac:dyDescent="0.15">
      <c r="C105" s="35"/>
      <c r="D105" s="28"/>
      <c r="E105" s="633"/>
      <c r="F105" s="336" t="str">
        <f t="shared" ref="F105:AH105" ca="1" si="220">"$/Sp="&amp;TEXT(ROUND((F104/NoOfSpaces),-2),"$0,0")</f>
        <v>$/Sp=$10,000</v>
      </c>
      <c r="G105" s="336" t="str">
        <f t="shared" ca="1" si="220"/>
        <v>$/Sp=$17,100</v>
      </c>
      <c r="H105" s="336" t="str">
        <f t="shared" ca="1" si="220"/>
        <v>$/Sp=$25,400</v>
      </c>
      <c r="I105" s="336" t="str">
        <f t="shared" ca="1" si="220"/>
        <v>$/Sp=$34,000</v>
      </c>
      <c r="J105" s="336" t="str">
        <f t="shared" ca="1" si="220"/>
        <v>$/Sp=$42,600</v>
      </c>
      <c r="K105" s="336" t="str">
        <f t="shared" ca="1" si="220"/>
        <v>$/Sp=$44,600</v>
      </c>
      <c r="L105" s="336" t="str">
        <f t="shared" ca="1" si="220"/>
        <v>$/Sp=$46,700</v>
      </c>
      <c r="M105" s="336" t="str">
        <f t="shared" ca="1" si="220"/>
        <v>$/Sp=$48,800</v>
      </c>
      <c r="N105" s="336" t="str">
        <f t="shared" ca="1" si="220"/>
        <v>$/Sp=$51,100</v>
      </c>
      <c r="O105" s="336" t="str">
        <f t="shared" ca="1" si="220"/>
        <v>$/Sp=$53,500</v>
      </c>
      <c r="P105" s="336" t="str">
        <f t="shared" ca="1" si="220"/>
        <v>$/Sp=$55,900</v>
      </c>
      <c r="Q105" s="336" t="str">
        <f t="shared" ca="1" si="220"/>
        <v>$/Sp=$58,500</v>
      </c>
      <c r="R105" s="336" t="str">
        <f t="shared" ca="1" si="220"/>
        <v>$/Sp=$61,200</v>
      </c>
      <c r="S105" s="336" t="str">
        <f t="shared" ca="1" si="220"/>
        <v>$/Sp=$64,000</v>
      </c>
      <c r="T105" s="336" t="str">
        <f t="shared" ca="1" si="220"/>
        <v>$/Sp=$66,900</v>
      </c>
      <c r="U105" s="336" t="str">
        <f t="shared" ca="1" si="220"/>
        <v>$/Sp=$69,900</v>
      </c>
      <c r="V105" s="336" t="str">
        <f t="shared" ca="1" si="220"/>
        <v>$/Sp=$73,100</v>
      </c>
      <c r="W105" s="336" t="str">
        <f t="shared" ca="1" si="220"/>
        <v>$/Sp=$76,400</v>
      </c>
      <c r="X105" s="336" t="str">
        <f t="shared" ca="1" si="220"/>
        <v>$/Sp=$79,800</v>
      </c>
      <c r="Y105" s="336" t="str">
        <f t="shared" ca="1" si="220"/>
        <v>$/Sp=$83,400</v>
      </c>
      <c r="Z105" s="336" t="str">
        <f t="shared" ca="1" si="220"/>
        <v>$/Sp=$87,200</v>
      </c>
      <c r="AA105" s="336" t="str">
        <f t="shared" ca="1" si="220"/>
        <v>$/Sp=$91,100</v>
      </c>
      <c r="AB105" s="336" t="str">
        <f t="shared" ca="1" si="220"/>
        <v>$/Sp=$95,100</v>
      </c>
      <c r="AC105" s="336" t="str">
        <f t="shared" ca="1" si="220"/>
        <v>$/Sp=$99,300</v>
      </c>
      <c r="AD105" s="336" t="str">
        <f t="shared" ca="1" si="220"/>
        <v>$/Sp=$103,700</v>
      </c>
      <c r="AE105" s="336" t="str">
        <f t="shared" ca="1" si="220"/>
        <v>$/Sp=$108,300</v>
      </c>
      <c r="AF105" s="336" t="str">
        <f t="shared" ca="1" si="220"/>
        <v>$/Sp=$113,100</v>
      </c>
      <c r="AG105" s="336" t="str">
        <f t="shared" ca="1" si="220"/>
        <v>$/Sp=$118,100</v>
      </c>
      <c r="AH105" s="336" t="str">
        <f t="shared" ca="1" si="220"/>
        <v>$/Sp=$123,300</v>
      </c>
      <c r="AI105" s="336" t="str">
        <f t="shared" ref="AI105:AJ105" ca="1" si="221">"$/Sp="&amp;TEXT(ROUND((AI104/NoOfSpaces),-2),"$0,0")</f>
        <v>$/Sp=$128,700</v>
      </c>
      <c r="AJ105" s="336" t="str">
        <f t="shared" ca="1" si="221"/>
        <v>$/Sp=$134,300</v>
      </c>
      <c r="AK105" s="689"/>
      <c r="AL105" s="689"/>
      <c r="AM105" s="689"/>
      <c r="AN105" s="689"/>
      <c r="AO105" s="689"/>
      <c r="AP105" s="689"/>
      <c r="AQ105" s="689"/>
      <c r="AR105" s="689"/>
      <c r="AS105" s="689"/>
      <c r="AT105" s="689"/>
      <c r="AU105" s="689"/>
      <c r="AV105" s="689"/>
      <c r="AW105" s="689"/>
      <c r="AX105" s="689"/>
      <c r="AY105" s="689"/>
      <c r="AZ105" s="689"/>
      <c r="BA105" s="689"/>
      <c r="BB105" s="689"/>
      <c r="BC105" s="689"/>
      <c r="BD105" s="689"/>
      <c r="BE105" s="689"/>
      <c r="BF105" s="689"/>
      <c r="BG105" s="689"/>
      <c r="BH105" s="689"/>
      <c r="BI105" s="689"/>
      <c r="BJ105" s="689"/>
      <c r="BK105" s="689"/>
      <c r="BL105" s="689"/>
      <c r="BM105" s="689"/>
      <c r="BN105" s="689"/>
      <c r="BO105" s="689"/>
      <c r="BP105" s="689"/>
      <c r="BQ105" s="689"/>
      <c r="BR105" s="689"/>
      <c r="BS105" s="689"/>
      <c r="BT105" s="689"/>
      <c r="BU105" s="689"/>
      <c r="BV105" s="689"/>
      <c r="BW105" s="689"/>
      <c r="BX105" s="689"/>
      <c r="BY105" s="689"/>
      <c r="BZ105" s="689"/>
    </row>
    <row r="106" spans="3:78" x14ac:dyDescent="0.15">
      <c r="C106" s="636" t="s">
        <v>59</v>
      </c>
      <c r="D106" s="28"/>
      <c r="E106" s="633"/>
      <c r="F106" s="12">
        <f t="shared" ref="F106:AH106" ca="1" si="222">F87-F96</f>
        <v>-43572.801988743129</v>
      </c>
      <c r="G106" s="12">
        <f t="shared" ca="1" si="222"/>
        <v>65990.05601125682</v>
      </c>
      <c r="H106" s="12">
        <f t="shared" ca="1" si="222"/>
        <v>191429.47217125684</v>
      </c>
      <c r="I106" s="12">
        <f t="shared" ca="1" si="222"/>
        <v>323224.77765445679</v>
      </c>
      <c r="J106" s="12">
        <f t="shared" ca="1" si="222"/>
        <v>455001.67024732073</v>
      </c>
      <c r="K106" s="12">
        <f t="shared" ca="1" si="222"/>
        <v>137895.57662283455</v>
      </c>
      <c r="L106" s="12">
        <f t="shared" ca="1" si="222"/>
        <v>169772.94098285027</v>
      </c>
      <c r="M106" s="12">
        <f t="shared" ca="1" si="222"/>
        <v>203017.52645099408</v>
      </c>
      <c r="N106" s="12">
        <f t="shared" ca="1" si="222"/>
        <v>237685.86440226634</v>
      </c>
      <c r="O106" s="12">
        <f t="shared" ca="1" si="222"/>
        <v>273836.78431727935</v>
      </c>
      <c r="P106" s="12">
        <f t="shared" ca="1" si="222"/>
        <v>311531.50644349726</v>
      </c>
      <c r="Q106" s="12">
        <f t="shared" ca="1" si="222"/>
        <v>350833.73817766004</v>
      </c>
      <c r="R106" s="12">
        <f t="shared" ca="1" si="222"/>
        <v>391809.77431854373</v>
      </c>
      <c r="S106" s="12">
        <f t="shared" ca="1" si="222"/>
        <v>434528.60134516342</v>
      </c>
      <c r="T106" s="12">
        <f t="shared" ca="1" si="222"/>
        <v>479062.00588175119</v>
      </c>
      <c r="U106" s="12">
        <f t="shared" ca="1" si="222"/>
        <v>525484.6875172836</v>
      </c>
      <c r="V106" s="12">
        <f t="shared" ca="1" si="222"/>
        <v>573874.37615406828</v>
      </c>
      <c r="W106" s="12">
        <f t="shared" ca="1" si="222"/>
        <v>624311.95406687178</v>
      </c>
      <c r="X106" s="12">
        <f t="shared" ca="1" si="222"/>
        <v>676881.58286134654</v>
      </c>
      <c r="Y106" s="12">
        <f t="shared" ca="1" si="222"/>
        <v>731670.83552806161</v>
      </c>
      <c r="Z106" s="12">
        <f t="shared" ca="1" si="222"/>
        <v>788770.83379631524</v>
      </c>
      <c r="AA106" s="12">
        <f t="shared" ca="1" si="222"/>
        <v>848276.39100006816</v>
      </c>
      <c r="AB106" s="12">
        <f t="shared" ca="1" si="222"/>
        <v>910286.16067683499</v>
      </c>
      <c r="AC106" s="12">
        <f t="shared" ca="1" si="222"/>
        <v>974902.7911292332</v>
      </c>
      <c r="AD106" s="12">
        <f t="shared" ca="1" si="222"/>
        <v>1042233.0861880592</v>
      </c>
      <c r="AE106" s="12">
        <f t="shared" ca="1" si="222"/>
        <v>1112388.1724253376</v>
      </c>
      <c r="AF106" s="12">
        <f t="shared" ca="1" si="222"/>
        <v>1185483.6730757277</v>
      </c>
      <c r="AG106" s="12">
        <f t="shared" ca="1" si="222"/>
        <v>1261639.8889350262</v>
      </c>
      <c r="AH106" s="12">
        <f t="shared" ca="1" si="222"/>
        <v>1340981.9865152473</v>
      </c>
      <c r="AI106" s="12">
        <f t="shared" ref="AI106:AJ106" ca="1" si="223">AI87-AI96</f>
        <v>1423640.1937469612</v>
      </c>
      <c r="AJ106" s="12">
        <f t="shared" ca="1" si="223"/>
        <v>1509750.0035311887</v>
      </c>
      <c r="AK106" s="689"/>
      <c r="AL106" s="689"/>
      <c r="AM106" s="689"/>
      <c r="AN106" s="689"/>
      <c r="AO106" s="689"/>
      <c r="AP106" s="689"/>
      <c r="AQ106" s="689"/>
      <c r="AR106" s="689"/>
      <c r="AS106" s="689"/>
      <c r="AT106" s="689"/>
      <c r="AU106" s="689"/>
      <c r="AV106" s="689"/>
      <c r="AW106" s="689"/>
      <c r="AX106" s="689"/>
      <c r="AY106" s="689"/>
      <c r="AZ106" s="689"/>
      <c r="BA106" s="689"/>
      <c r="BB106" s="689"/>
      <c r="BC106" s="689"/>
      <c r="BD106" s="689"/>
      <c r="BE106" s="689"/>
      <c r="BF106" s="689"/>
      <c r="BG106" s="689"/>
      <c r="BH106" s="689"/>
      <c r="BI106" s="689"/>
      <c r="BJ106" s="689"/>
      <c r="BK106" s="689"/>
      <c r="BL106" s="689"/>
      <c r="BM106" s="689"/>
      <c r="BN106" s="689"/>
      <c r="BO106" s="689"/>
      <c r="BP106" s="689"/>
      <c r="BQ106" s="689"/>
      <c r="BR106" s="689"/>
      <c r="BS106" s="689"/>
      <c r="BT106" s="689"/>
      <c r="BU106" s="689"/>
      <c r="BV106" s="689"/>
      <c r="BW106" s="689"/>
      <c r="BX106" s="689"/>
      <c r="BY106" s="689"/>
      <c r="BZ106" s="689"/>
    </row>
    <row r="107" spans="3:78" x14ac:dyDescent="0.15">
      <c r="C107" s="636" t="s">
        <v>60</v>
      </c>
      <c r="D107" s="775" t="s">
        <v>217</v>
      </c>
      <c r="E107" s="776"/>
      <c r="F107" s="154">
        <v>0</v>
      </c>
      <c r="G107" s="154">
        <v>0</v>
      </c>
      <c r="H107" s="154">
        <v>0</v>
      </c>
      <c r="I107" s="154">
        <v>0</v>
      </c>
      <c r="J107" s="154">
        <v>0</v>
      </c>
      <c r="K107" s="154">
        <v>0</v>
      </c>
      <c r="L107" s="154">
        <v>0</v>
      </c>
      <c r="M107" s="154">
        <v>0</v>
      </c>
      <c r="N107" s="154">
        <v>0</v>
      </c>
      <c r="O107" s="154">
        <v>0</v>
      </c>
      <c r="P107" s="154">
        <v>0</v>
      </c>
      <c r="Q107" s="154">
        <v>0</v>
      </c>
      <c r="R107" s="154">
        <v>0</v>
      </c>
      <c r="S107" s="154">
        <v>0</v>
      </c>
      <c r="T107" s="154">
        <v>0</v>
      </c>
      <c r="U107" s="154">
        <v>0</v>
      </c>
      <c r="V107" s="154">
        <v>0</v>
      </c>
      <c r="W107" s="154">
        <v>0</v>
      </c>
      <c r="X107" s="154">
        <v>0</v>
      </c>
      <c r="Y107" s="154">
        <v>0</v>
      </c>
      <c r="Z107" s="154">
        <v>0</v>
      </c>
      <c r="AA107" s="154">
        <v>0</v>
      </c>
      <c r="AB107" s="154">
        <v>0</v>
      </c>
      <c r="AC107" s="154">
        <v>0</v>
      </c>
      <c r="AD107" s="154">
        <v>0</v>
      </c>
      <c r="AE107" s="154">
        <v>0</v>
      </c>
      <c r="AF107" s="154">
        <v>0</v>
      </c>
      <c r="AG107" s="154">
        <v>0</v>
      </c>
      <c r="AH107" s="154">
        <v>0</v>
      </c>
      <c r="AI107" s="154">
        <v>0</v>
      </c>
      <c r="AJ107" s="154">
        <v>0</v>
      </c>
      <c r="AK107" s="689"/>
      <c r="AL107" s="689"/>
      <c r="AM107" s="689"/>
      <c r="AN107" s="689"/>
      <c r="AO107" s="689"/>
      <c r="AP107" s="689"/>
      <c r="AQ107" s="689"/>
      <c r="AR107" s="689"/>
      <c r="AS107" s="689"/>
      <c r="AT107" s="689"/>
      <c r="AU107" s="689"/>
      <c r="AV107" s="689"/>
      <c r="AW107" s="689"/>
      <c r="AX107" s="689"/>
      <c r="AY107" s="689"/>
      <c r="AZ107" s="689"/>
      <c r="BA107" s="689"/>
      <c r="BB107" s="689"/>
      <c r="BC107" s="689"/>
      <c r="BD107" s="689"/>
      <c r="BE107" s="689"/>
      <c r="BF107" s="689"/>
      <c r="BG107" s="689"/>
      <c r="BH107" s="689"/>
      <c r="BI107" s="689"/>
      <c r="BJ107" s="689"/>
      <c r="BK107" s="689"/>
      <c r="BL107" s="689"/>
      <c r="BM107" s="689"/>
      <c r="BN107" s="689"/>
      <c r="BO107" s="689"/>
      <c r="BP107" s="689"/>
      <c r="BQ107" s="689"/>
      <c r="BR107" s="689"/>
      <c r="BS107" s="689"/>
      <c r="BT107" s="689"/>
      <c r="BU107" s="689"/>
      <c r="BV107" s="689"/>
      <c r="BW107" s="689"/>
      <c r="BX107" s="689"/>
      <c r="BY107" s="689"/>
      <c r="BZ107" s="689"/>
    </row>
    <row r="108" spans="3:78" x14ac:dyDescent="0.15">
      <c r="C108" s="636" t="s">
        <v>218</v>
      </c>
      <c r="D108" s="28"/>
      <c r="E108" s="633"/>
      <c r="F108" s="154">
        <f>N25</f>
        <v>54225.599999999999</v>
      </c>
      <c r="G108" s="154">
        <f>F108</f>
        <v>54225.599999999999</v>
      </c>
      <c r="H108" s="154">
        <f t="shared" ref="H108:J108" si="224">G108</f>
        <v>54225.599999999999</v>
      </c>
      <c r="I108" s="154">
        <f t="shared" si="224"/>
        <v>54225.599999999999</v>
      </c>
      <c r="J108" s="154">
        <f t="shared" si="224"/>
        <v>54225.599999999999</v>
      </c>
      <c r="K108" s="154">
        <v>0</v>
      </c>
      <c r="L108" s="154">
        <v>0</v>
      </c>
      <c r="M108" s="154">
        <v>0</v>
      </c>
      <c r="N108" s="154">
        <v>0</v>
      </c>
      <c r="O108" s="154">
        <v>0</v>
      </c>
      <c r="P108" s="154">
        <v>0</v>
      </c>
      <c r="Q108" s="154">
        <v>0</v>
      </c>
      <c r="R108" s="154">
        <v>0</v>
      </c>
      <c r="S108" s="154">
        <v>0</v>
      </c>
      <c r="T108" s="154">
        <v>0</v>
      </c>
      <c r="U108" s="154">
        <v>0</v>
      </c>
      <c r="V108" s="154">
        <v>0</v>
      </c>
      <c r="W108" s="154">
        <v>0</v>
      </c>
      <c r="X108" s="154">
        <v>0</v>
      </c>
      <c r="Y108" s="154">
        <v>0</v>
      </c>
      <c r="Z108" s="154">
        <v>0</v>
      </c>
      <c r="AA108" s="154">
        <v>0</v>
      </c>
      <c r="AB108" s="154">
        <v>0</v>
      </c>
      <c r="AC108" s="154">
        <v>0</v>
      </c>
      <c r="AD108" s="154">
        <v>0</v>
      </c>
      <c r="AE108" s="154">
        <v>0</v>
      </c>
      <c r="AF108" s="154">
        <v>0</v>
      </c>
      <c r="AG108" s="154">
        <v>0</v>
      </c>
      <c r="AH108" s="154">
        <v>0</v>
      </c>
      <c r="AI108" s="154">
        <v>0</v>
      </c>
      <c r="AJ108" s="154">
        <v>0</v>
      </c>
      <c r="AK108" s="689"/>
      <c r="AL108" s="689"/>
      <c r="AM108" s="689"/>
      <c r="AN108" s="689"/>
      <c r="AO108" s="689"/>
      <c r="AP108" s="689"/>
      <c r="AQ108" s="689"/>
      <c r="AR108" s="689"/>
      <c r="AS108" s="689"/>
      <c r="AT108" s="689"/>
      <c r="AU108" s="689"/>
      <c r="AV108" s="689"/>
      <c r="AW108" s="689"/>
      <c r="AX108" s="689"/>
      <c r="AY108" s="689"/>
      <c r="AZ108" s="689"/>
      <c r="BA108" s="689"/>
      <c r="BB108" s="689"/>
      <c r="BC108" s="689"/>
      <c r="BD108" s="689"/>
      <c r="BE108" s="689"/>
      <c r="BF108" s="689"/>
      <c r="BG108" s="689"/>
      <c r="BH108" s="689"/>
      <c r="BI108" s="689"/>
      <c r="BJ108" s="689"/>
      <c r="BK108" s="689"/>
      <c r="BL108" s="689"/>
      <c r="BM108" s="689"/>
      <c r="BN108" s="689"/>
      <c r="BO108" s="689"/>
      <c r="BP108" s="689"/>
      <c r="BQ108" s="689"/>
      <c r="BR108" s="689"/>
      <c r="BS108" s="689"/>
      <c r="BT108" s="689"/>
      <c r="BU108" s="689"/>
      <c r="BV108" s="689"/>
      <c r="BW108" s="689"/>
      <c r="BX108" s="689"/>
      <c r="BY108" s="689"/>
      <c r="BZ108" s="689"/>
    </row>
    <row r="109" spans="3:78" x14ac:dyDescent="0.15">
      <c r="C109" s="636" t="s">
        <v>219</v>
      </c>
      <c r="D109" s="28"/>
      <c r="E109" s="633"/>
      <c r="F109" s="154">
        <v>0</v>
      </c>
      <c r="G109" s="154">
        <v>0</v>
      </c>
      <c r="H109" s="154">
        <v>0</v>
      </c>
      <c r="I109" s="154">
        <v>0</v>
      </c>
      <c r="J109" s="154">
        <v>0</v>
      </c>
      <c r="K109" s="154">
        <v>0</v>
      </c>
      <c r="L109" s="154">
        <v>0</v>
      </c>
      <c r="M109" s="154">
        <v>0</v>
      </c>
      <c r="N109" s="154">
        <v>0</v>
      </c>
      <c r="O109" s="154">
        <v>0</v>
      </c>
      <c r="P109" s="154">
        <v>0</v>
      </c>
      <c r="Q109" s="154">
        <v>0</v>
      </c>
      <c r="R109" s="154">
        <v>0</v>
      </c>
      <c r="S109" s="154">
        <v>0</v>
      </c>
      <c r="T109" s="154">
        <v>0</v>
      </c>
      <c r="U109" s="154">
        <v>0</v>
      </c>
      <c r="V109" s="154">
        <v>0</v>
      </c>
      <c r="W109" s="154">
        <v>0</v>
      </c>
      <c r="X109" s="154">
        <v>0</v>
      </c>
      <c r="Y109" s="154">
        <v>0</v>
      </c>
      <c r="Z109" s="154">
        <v>0</v>
      </c>
      <c r="AA109" s="154">
        <v>0</v>
      </c>
      <c r="AB109" s="154">
        <v>0</v>
      </c>
      <c r="AC109" s="154">
        <v>0</v>
      </c>
      <c r="AD109" s="154">
        <v>0</v>
      </c>
      <c r="AE109" s="154">
        <v>0</v>
      </c>
      <c r="AF109" s="154">
        <v>0</v>
      </c>
      <c r="AG109" s="154">
        <v>0</v>
      </c>
      <c r="AH109" s="154">
        <v>0</v>
      </c>
      <c r="AI109" s="154">
        <v>0</v>
      </c>
      <c r="AJ109" s="154">
        <v>0</v>
      </c>
      <c r="AK109" s="689"/>
      <c r="AL109" s="689"/>
      <c r="AM109" s="689"/>
      <c r="AN109" s="689"/>
      <c r="AO109" s="689"/>
      <c r="AP109" s="689"/>
      <c r="AQ109" s="689"/>
      <c r="AR109" s="689"/>
      <c r="AS109" s="689"/>
      <c r="AT109" s="689"/>
      <c r="AU109" s="689"/>
      <c r="AV109" s="689"/>
      <c r="AW109" s="689"/>
      <c r="AX109" s="689"/>
      <c r="AY109" s="689"/>
      <c r="AZ109" s="689"/>
      <c r="BA109" s="689"/>
      <c r="BB109" s="689"/>
      <c r="BC109" s="689"/>
      <c r="BD109" s="689"/>
      <c r="BE109" s="689"/>
      <c r="BF109" s="689"/>
      <c r="BG109" s="689"/>
      <c r="BH109" s="689"/>
      <c r="BI109" s="689"/>
      <c r="BJ109" s="689"/>
      <c r="BK109" s="689"/>
      <c r="BL109" s="689"/>
      <c r="BM109" s="689"/>
      <c r="BN109" s="689"/>
      <c r="BO109" s="689"/>
      <c r="BP109" s="689"/>
      <c r="BQ109" s="689"/>
      <c r="BR109" s="689"/>
      <c r="BS109" s="689"/>
      <c r="BT109" s="689"/>
      <c r="BU109" s="689"/>
      <c r="BV109" s="689"/>
      <c r="BW109" s="689"/>
      <c r="BX109" s="689"/>
      <c r="BY109" s="689"/>
      <c r="BZ109" s="689"/>
    </row>
    <row r="110" spans="3:78" x14ac:dyDescent="0.15">
      <c r="C110" s="636" t="s">
        <v>220</v>
      </c>
      <c r="D110" s="28"/>
      <c r="E110" s="633"/>
      <c r="F110" s="154">
        <v>0</v>
      </c>
      <c r="G110" s="154">
        <v>0</v>
      </c>
      <c r="H110" s="154">
        <v>0</v>
      </c>
      <c r="I110" s="154">
        <v>0</v>
      </c>
      <c r="J110" s="154">
        <v>0</v>
      </c>
      <c r="K110" s="154">
        <v>0</v>
      </c>
      <c r="L110" s="154">
        <v>0</v>
      </c>
      <c r="M110" s="154">
        <v>0</v>
      </c>
      <c r="N110" s="154">
        <v>0</v>
      </c>
      <c r="O110" s="154">
        <v>0</v>
      </c>
      <c r="P110" s="154">
        <f>IF(P92*12&lt;='Closing Funds - POHs'!$E$30,'Closing Funds - POHs'!$H$30,0)</f>
        <v>0</v>
      </c>
      <c r="Q110" s="154">
        <f>IF(Q92*12&lt;='Closing Funds - POHs'!$E$30,'Closing Funds - POHs'!$H$30,0)</f>
        <v>0</v>
      </c>
      <c r="R110" s="154">
        <f>IF(R92*12&lt;='Closing Funds - POHs'!$E$30,'Closing Funds - POHs'!$H$30,0)</f>
        <v>0</v>
      </c>
      <c r="S110" s="154">
        <f>IF(S92*12&lt;='Closing Funds - POHs'!$E$30,'Closing Funds - POHs'!$H$30,0)</f>
        <v>0</v>
      </c>
      <c r="T110" s="154">
        <f>IF(T92*12&lt;='Closing Funds - POHs'!$E$30,'Closing Funds - POHs'!$H$30,0)</f>
        <v>0</v>
      </c>
      <c r="U110" s="154">
        <f>IF(U92*12&lt;='Closing Funds - POHs'!$E$30,'Closing Funds - POHs'!$H$30,0)</f>
        <v>0</v>
      </c>
      <c r="V110" s="154">
        <f>IF(V92*12&lt;='Closing Funds - POHs'!$E$30,'Closing Funds - POHs'!$H$30,0)</f>
        <v>0</v>
      </c>
      <c r="W110" s="154">
        <f>IF(W92*12&lt;='Closing Funds - POHs'!$E$30,'Closing Funds - POHs'!$H$30,0)</f>
        <v>0</v>
      </c>
      <c r="X110" s="154">
        <f>IF(X92*12&lt;='Closing Funds - POHs'!$E$30,'Closing Funds - POHs'!$H$30,0)</f>
        <v>0</v>
      </c>
      <c r="Y110" s="154">
        <f>IF(Y92*12&lt;='Closing Funds - POHs'!$E$30,'Closing Funds - POHs'!$H$30,0)</f>
        <v>0</v>
      </c>
      <c r="Z110" s="154">
        <f>IF(Z92*12&lt;='Closing Funds - POHs'!$E$30,'Closing Funds - POHs'!$H$30,0)</f>
        <v>0</v>
      </c>
      <c r="AA110" s="154">
        <f>IF(AA92*12&lt;='Closing Funds - POHs'!$E$30,'Closing Funds - POHs'!$H$30,0)</f>
        <v>0</v>
      </c>
      <c r="AB110" s="154">
        <f>IF(AB92*12&lt;='Closing Funds - POHs'!$E$30,'Closing Funds - POHs'!$H$30,0)</f>
        <v>0</v>
      </c>
      <c r="AC110" s="154">
        <f>IF(AC92*12&lt;='Closing Funds - POHs'!$E$30,'Closing Funds - POHs'!$H$30,0)</f>
        <v>0</v>
      </c>
      <c r="AD110" s="154">
        <f>IF(AD92*12&lt;='Closing Funds - POHs'!$E$30,'Closing Funds - POHs'!$H$30,0)</f>
        <v>0</v>
      </c>
      <c r="AE110" s="154">
        <f>IF(AE92*12&lt;='Closing Funds - POHs'!$E$30,'Closing Funds - POHs'!$H$30,0)</f>
        <v>0</v>
      </c>
      <c r="AF110" s="154">
        <f>IF(AF92*12&lt;='Closing Funds - POHs'!$E$30,'Closing Funds - POHs'!$H$30,0)</f>
        <v>0</v>
      </c>
      <c r="AG110" s="154">
        <f>IF(AG92*12&lt;='Closing Funds - POHs'!$E$30,'Closing Funds - POHs'!$H$30,0)</f>
        <v>0</v>
      </c>
      <c r="AH110" s="154">
        <f>IF(AH92*12&lt;='Closing Funds - POHs'!$E$30,'Closing Funds - POHs'!$H$30,0)</f>
        <v>0</v>
      </c>
      <c r="AI110" s="154">
        <f>IF(AI92*12&lt;='Closing Funds - POHs'!$E$30,'Closing Funds - POHs'!$H$30,0)</f>
        <v>0</v>
      </c>
      <c r="AJ110" s="154">
        <f>IF(AJ92*12&lt;='Closing Funds - POHs'!$E$30,'Closing Funds - POHs'!$H$30,0)</f>
        <v>0</v>
      </c>
      <c r="AK110" s="689"/>
      <c r="AL110" s="689"/>
      <c r="AM110" s="689"/>
      <c r="AN110" s="689"/>
      <c r="AO110" s="689"/>
      <c r="AP110" s="689"/>
      <c r="AQ110" s="689"/>
      <c r="AR110" s="689"/>
      <c r="AS110" s="689"/>
      <c r="AT110" s="689"/>
      <c r="AU110" s="689"/>
      <c r="AV110" s="689"/>
      <c r="AW110" s="689"/>
      <c r="AX110" s="689"/>
      <c r="AY110" s="689"/>
      <c r="AZ110" s="689"/>
      <c r="BA110" s="689"/>
      <c r="BB110" s="689"/>
      <c r="BC110" s="689"/>
      <c r="BD110" s="689"/>
      <c r="BE110" s="689"/>
      <c r="BF110" s="689"/>
      <c r="BG110" s="689"/>
      <c r="BH110" s="689"/>
      <c r="BI110" s="689"/>
      <c r="BJ110" s="689"/>
      <c r="BK110" s="689"/>
      <c r="BL110" s="689"/>
      <c r="BM110" s="689"/>
      <c r="BN110" s="689"/>
      <c r="BO110" s="689"/>
      <c r="BP110" s="689"/>
      <c r="BQ110" s="689"/>
      <c r="BR110" s="689"/>
      <c r="BS110" s="689"/>
      <c r="BT110" s="689"/>
      <c r="BU110" s="689"/>
      <c r="BV110" s="689"/>
      <c r="BW110" s="689"/>
      <c r="BX110" s="689"/>
      <c r="BY110" s="689"/>
      <c r="BZ110" s="689"/>
    </row>
    <row r="111" spans="3:78" x14ac:dyDescent="0.15">
      <c r="C111" s="636" t="s">
        <v>88</v>
      </c>
      <c r="D111" s="28"/>
      <c r="E111" s="154">
        <f>-AcquisitionFee*Purchase_Price</f>
        <v>0</v>
      </c>
      <c r="F111" s="154">
        <v>0</v>
      </c>
      <c r="G111" s="154">
        <v>0</v>
      </c>
      <c r="H111" s="154">
        <v>0</v>
      </c>
      <c r="I111" s="154">
        <v>0</v>
      </c>
      <c r="J111" s="154">
        <v>0</v>
      </c>
      <c r="K111" s="154">
        <v>0</v>
      </c>
      <c r="L111" s="154">
        <v>0</v>
      </c>
      <c r="M111" s="154">
        <v>0</v>
      </c>
      <c r="N111" s="154">
        <v>0</v>
      </c>
      <c r="O111" s="154">
        <v>0</v>
      </c>
      <c r="P111" s="154">
        <v>0</v>
      </c>
      <c r="Q111" s="154">
        <v>0</v>
      </c>
      <c r="R111" s="154">
        <v>0</v>
      </c>
      <c r="S111" s="154">
        <v>0</v>
      </c>
      <c r="T111" s="154">
        <v>0</v>
      </c>
      <c r="U111" s="154">
        <v>0</v>
      </c>
      <c r="V111" s="154">
        <v>0</v>
      </c>
      <c r="W111" s="154">
        <v>0</v>
      </c>
      <c r="X111" s="154">
        <v>0</v>
      </c>
      <c r="Y111" s="154">
        <v>0</v>
      </c>
      <c r="Z111" s="154">
        <v>0</v>
      </c>
      <c r="AA111" s="154">
        <v>0</v>
      </c>
      <c r="AB111" s="154">
        <v>0</v>
      </c>
      <c r="AC111" s="154">
        <v>0</v>
      </c>
      <c r="AD111" s="154">
        <v>0</v>
      </c>
      <c r="AE111" s="154">
        <v>0</v>
      </c>
      <c r="AF111" s="154">
        <v>0</v>
      </c>
      <c r="AG111" s="154">
        <v>0</v>
      </c>
      <c r="AH111" s="154">
        <v>0</v>
      </c>
      <c r="AI111" s="154">
        <v>0</v>
      </c>
      <c r="AJ111" s="154">
        <v>0</v>
      </c>
      <c r="AK111" s="689"/>
      <c r="AL111" s="689"/>
      <c r="AM111" s="689"/>
      <c r="AN111" s="689"/>
      <c r="AO111" s="689"/>
      <c r="AP111" s="689"/>
      <c r="AQ111" s="689"/>
      <c r="AR111" s="689"/>
      <c r="AS111" s="689"/>
      <c r="AT111" s="689"/>
      <c r="AU111" s="689"/>
      <c r="AV111" s="689"/>
      <c r="AW111" s="689"/>
      <c r="AX111" s="689"/>
      <c r="AY111" s="689"/>
      <c r="AZ111" s="689"/>
      <c r="BA111" s="689"/>
      <c r="BB111" s="689"/>
      <c r="BC111" s="689"/>
      <c r="BD111" s="689"/>
      <c r="BE111" s="689"/>
      <c r="BF111" s="689"/>
      <c r="BG111" s="689"/>
      <c r="BH111" s="689"/>
      <c r="BI111" s="689"/>
      <c r="BJ111" s="689"/>
      <c r="BK111" s="689"/>
      <c r="BL111" s="689"/>
      <c r="BM111" s="689"/>
      <c r="BN111" s="689"/>
      <c r="BO111" s="689"/>
      <c r="BP111" s="689"/>
      <c r="BQ111" s="689"/>
      <c r="BR111" s="689"/>
      <c r="BS111" s="689"/>
      <c r="BT111" s="689"/>
      <c r="BU111" s="689"/>
      <c r="BV111" s="689"/>
      <c r="BW111" s="689"/>
      <c r="BX111" s="689"/>
      <c r="BY111" s="689"/>
      <c r="BZ111" s="689"/>
    </row>
    <row r="112" spans="3:78" x14ac:dyDescent="0.15">
      <c r="C112" s="636" t="s">
        <v>92</v>
      </c>
      <c r="D112" s="28"/>
      <c r="E112" s="633"/>
      <c r="F112" s="154">
        <f t="shared" ref="F112:AJ112" si="225">$E$117*AssetMgmtFee</f>
        <v>0</v>
      </c>
      <c r="G112" s="154">
        <f t="shared" si="225"/>
        <v>0</v>
      </c>
      <c r="H112" s="154">
        <f t="shared" si="225"/>
        <v>0</v>
      </c>
      <c r="I112" s="154">
        <f t="shared" si="225"/>
        <v>0</v>
      </c>
      <c r="J112" s="154">
        <f t="shared" si="225"/>
        <v>0</v>
      </c>
      <c r="K112" s="154">
        <f t="shared" si="225"/>
        <v>0</v>
      </c>
      <c r="L112" s="154">
        <f t="shared" si="225"/>
        <v>0</v>
      </c>
      <c r="M112" s="154">
        <f t="shared" si="225"/>
        <v>0</v>
      </c>
      <c r="N112" s="154">
        <f t="shared" si="225"/>
        <v>0</v>
      </c>
      <c r="O112" s="154">
        <f t="shared" si="225"/>
        <v>0</v>
      </c>
      <c r="P112" s="154">
        <f t="shared" si="225"/>
        <v>0</v>
      </c>
      <c r="Q112" s="154">
        <f t="shared" si="225"/>
        <v>0</v>
      </c>
      <c r="R112" s="154">
        <f t="shared" si="225"/>
        <v>0</v>
      </c>
      <c r="S112" s="154">
        <f t="shared" si="225"/>
        <v>0</v>
      </c>
      <c r="T112" s="154">
        <f t="shared" si="225"/>
        <v>0</v>
      </c>
      <c r="U112" s="154">
        <f t="shared" si="225"/>
        <v>0</v>
      </c>
      <c r="V112" s="154">
        <f t="shared" si="225"/>
        <v>0</v>
      </c>
      <c r="W112" s="154">
        <f t="shared" si="225"/>
        <v>0</v>
      </c>
      <c r="X112" s="154">
        <f t="shared" si="225"/>
        <v>0</v>
      </c>
      <c r="Y112" s="154">
        <f t="shared" si="225"/>
        <v>0</v>
      </c>
      <c r="Z112" s="154">
        <f t="shared" si="225"/>
        <v>0</v>
      </c>
      <c r="AA112" s="154">
        <f t="shared" si="225"/>
        <v>0</v>
      </c>
      <c r="AB112" s="154">
        <f t="shared" si="225"/>
        <v>0</v>
      </c>
      <c r="AC112" s="154">
        <f t="shared" si="225"/>
        <v>0</v>
      </c>
      <c r="AD112" s="154">
        <f t="shared" si="225"/>
        <v>0</v>
      </c>
      <c r="AE112" s="154">
        <f t="shared" si="225"/>
        <v>0</v>
      </c>
      <c r="AF112" s="154">
        <f t="shared" si="225"/>
        <v>0</v>
      </c>
      <c r="AG112" s="154">
        <f t="shared" si="225"/>
        <v>0</v>
      </c>
      <c r="AH112" s="154">
        <f t="shared" si="225"/>
        <v>0</v>
      </c>
      <c r="AI112" s="154">
        <f t="shared" si="225"/>
        <v>0</v>
      </c>
      <c r="AJ112" s="154">
        <f t="shared" si="225"/>
        <v>0</v>
      </c>
      <c r="AK112" s="689"/>
      <c r="AL112" s="689"/>
      <c r="AM112" s="689"/>
      <c r="AN112" s="689"/>
      <c r="AO112" s="689"/>
      <c r="AP112" s="689"/>
      <c r="AQ112" s="689"/>
      <c r="AR112" s="689"/>
      <c r="AS112" s="689"/>
      <c r="AT112" s="689"/>
      <c r="AU112" s="689"/>
      <c r="AV112" s="689"/>
      <c r="AW112" s="689"/>
      <c r="AX112" s="689"/>
      <c r="AY112" s="689"/>
      <c r="AZ112" s="689"/>
      <c r="BA112" s="689"/>
      <c r="BB112" s="689"/>
      <c r="BC112" s="689"/>
      <c r="BD112" s="689"/>
      <c r="BE112" s="689"/>
      <c r="BF112" s="689"/>
      <c r="BG112" s="689"/>
      <c r="BH112" s="689"/>
      <c r="BI112" s="689"/>
      <c r="BJ112" s="689"/>
      <c r="BK112" s="689"/>
      <c r="BL112" s="689"/>
      <c r="BM112" s="689"/>
      <c r="BN112" s="689"/>
      <c r="BO112" s="689"/>
      <c r="BP112" s="689"/>
      <c r="BQ112" s="689"/>
      <c r="BR112" s="689"/>
      <c r="BS112" s="689"/>
      <c r="BT112" s="689"/>
      <c r="BU112" s="689"/>
      <c r="BV112" s="689"/>
      <c r="BW112" s="689"/>
      <c r="BX112" s="689"/>
      <c r="BY112" s="689"/>
      <c r="BZ112" s="689"/>
    </row>
    <row r="113" spans="3:78" x14ac:dyDescent="0.15">
      <c r="C113" s="636" t="s">
        <v>97</v>
      </c>
      <c r="D113" s="28"/>
      <c r="E113" s="633"/>
      <c r="F113" s="154">
        <f t="shared" ref="F113:AJ113" si="226">IF(F93="Refinance",-G93*RefinanceFee,0)</f>
        <v>0</v>
      </c>
      <c r="G113" s="154">
        <f t="shared" si="226"/>
        <v>0</v>
      </c>
      <c r="H113" s="154">
        <f t="shared" si="226"/>
        <v>0</v>
      </c>
      <c r="I113" s="154">
        <f t="shared" si="226"/>
        <v>0</v>
      </c>
      <c r="J113" s="154">
        <f t="shared" ca="1" si="226"/>
        <v>0</v>
      </c>
      <c r="K113" s="154">
        <f t="shared" ca="1" si="226"/>
        <v>0</v>
      </c>
      <c r="L113" s="154">
        <f t="shared" si="226"/>
        <v>0</v>
      </c>
      <c r="M113" s="154">
        <f t="shared" si="226"/>
        <v>0</v>
      </c>
      <c r="N113" s="154">
        <f t="shared" si="226"/>
        <v>0</v>
      </c>
      <c r="O113" s="154">
        <f t="shared" si="226"/>
        <v>0</v>
      </c>
      <c r="P113" s="154">
        <f t="shared" si="226"/>
        <v>0</v>
      </c>
      <c r="Q113" s="154">
        <f t="shared" si="226"/>
        <v>0</v>
      </c>
      <c r="R113" s="154">
        <f t="shared" si="226"/>
        <v>0</v>
      </c>
      <c r="S113" s="154">
        <f t="shared" si="226"/>
        <v>0</v>
      </c>
      <c r="T113" s="154">
        <f t="shared" si="226"/>
        <v>0</v>
      </c>
      <c r="U113" s="154">
        <f t="shared" si="226"/>
        <v>0</v>
      </c>
      <c r="V113" s="154">
        <f t="shared" si="226"/>
        <v>0</v>
      </c>
      <c r="W113" s="154">
        <f t="shared" si="226"/>
        <v>0</v>
      </c>
      <c r="X113" s="154">
        <f t="shared" si="226"/>
        <v>0</v>
      </c>
      <c r="Y113" s="154">
        <f t="shared" si="226"/>
        <v>0</v>
      </c>
      <c r="Z113" s="154">
        <f t="shared" si="226"/>
        <v>0</v>
      </c>
      <c r="AA113" s="154">
        <f t="shared" si="226"/>
        <v>0</v>
      </c>
      <c r="AB113" s="154">
        <f t="shared" si="226"/>
        <v>0</v>
      </c>
      <c r="AC113" s="154">
        <f t="shared" si="226"/>
        <v>0</v>
      </c>
      <c r="AD113" s="154">
        <f t="shared" si="226"/>
        <v>0</v>
      </c>
      <c r="AE113" s="154">
        <f t="shared" si="226"/>
        <v>0</v>
      </c>
      <c r="AF113" s="154">
        <f t="shared" si="226"/>
        <v>0</v>
      </c>
      <c r="AG113" s="154">
        <f t="shared" si="226"/>
        <v>0</v>
      </c>
      <c r="AH113" s="154">
        <f t="shared" si="226"/>
        <v>0</v>
      </c>
      <c r="AI113" s="154">
        <f t="shared" si="226"/>
        <v>0</v>
      </c>
      <c r="AJ113" s="154">
        <f t="shared" si="226"/>
        <v>0</v>
      </c>
      <c r="AK113" s="689"/>
      <c r="AL113" s="689"/>
      <c r="AM113" s="689"/>
      <c r="AN113" s="689"/>
      <c r="AO113" s="689"/>
      <c r="AP113" s="689"/>
      <c r="AQ113" s="689"/>
      <c r="AR113" s="689"/>
      <c r="AS113" s="689"/>
      <c r="AT113" s="689"/>
      <c r="AU113" s="689"/>
      <c r="AV113" s="689"/>
      <c r="AW113" s="689"/>
      <c r="AX113" s="689"/>
      <c r="AY113" s="689"/>
      <c r="AZ113" s="689"/>
      <c r="BA113" s="689"/>
      <c r="BB113" s="689"/>
      <c r="BC113" s="689"/>
      <c r="BD113" s="689"/>
      <c r="BE113" s="689"/>
      <c r="BF113" s="689"/>
      <c r="BG113" s="689"/>
      <c r="BH113" s="689"/>
      <c r="BI113" s="689"/>
      <c r="BJ113" s="689"/>
      <c r="BK113" s="689"/>
      <c r="BL113" s="689"/>
      <c r="BM113" s="689"/>
      <c r="BN113" s="689"/>
      <c r="BO113" s="689"/>
      <c r="BP113" s="689"/>
      <c r="BQ113" s="689"/>
      <c r="BR113" s="689"/>
      <c r="BS113" s="689"/>
      <c r="BT113" s="689"/>
      <c r="BU113" s="689"/>
      <c r="BV113" s="689"/>
      <c r="BW113" s="689"/>
      <c r="BX113" s="689"/>
      <c r="BY113" s="689"/>
      <c r="BZ113" s="689"/>
    </row>
    <row r="114" spans="3:78" x14ac:dyDescent="0.15">
      <c r="C114" s="636" t="s">
        <v>99</v>
      </c>
      <c r="D114" s="28"/>
      <c r="E114" s="633"/>
      <c r="F114" s="154">
        <v>0</v>
      </c>
      <c r="G114" s="154">
        <v>0</v>
      </c>
      <c r="H114" s="154">
        <v>0</v>
      </c>
      <c r="I114" s="154">
        <v>0</v>
      </c>
      <c r="J114" s="154">
        <v>0</v>
      </c>
      <c r="K114" s="154">
        <v>0</v>
      </c>
      <c r="L114" s="154">
        <v>0</v>
      </c>
      <c r="M114" s="154">
        <v>0</v>
      </c>
      <c r="N114" s="154">
        <v>0</v>
      </c>
      <c r="O114" s="154">
        <v>0</v>
      </c>
      <c r="P114" s="154">
        <f ca="1">IF(P96*12&lt;='Closing Funds - POHs'!$E$30,'Closing Funds - POHs'!$H$30,0)</f>
        <v>0</v>
      </c>
      <c r="Q114" s="154">
        <f ca="1">IF(Q96*12&lt;='Closing Funds - POHs'!$E$30,'Closing Funds - POHs'!$H$30,0)</f>
        <v>0</v>
      </c>
      <c r="R114" s="154">
        <f ca="1">IF(R96*12&lt;='Closing Funds - POHs'!$E$30,'Closing Funds - POHs'!$H$30,0)</f>
        <v>0</v>
      </c>
      <c r="S114" s="154">
        <f ca="1">IF(S96*12&lt;='Closing Funds - POHs'!$E$30,'Closing Funds - POHs'!$H$30,0)</f>
        <v>0</v>
      </c>
      <c r="T114" s="154">
        <f ca="1">IF(T96*12&lt;='Closing Funds - POHs'!$E$30,'Closing Funds - POHs'!$H$30,0)</f>
        <v>0</v>
      </c>
      <c r="U114" s="154">
        <f ca="1">IF(U96*12&lt;='Closing Funds - POHs'!$E$30,'Closing Funds - POHs'!$H$30,0)</f>
        <v>0</v>
      </c>
      <c r="V114" s="154">
        <f ca="1">IF(V96*12&lt;='Closing Funds - POHs'!$E$30,'Closing Funds - POHs'!$H$30,0)</f>
        <v>0</v>
      </c>
      <c r="W114" s="154">
        <f ca="1">IF(W96*12&lt;='Closing Funds - POHs'!$E$30,'Closing Funds - POHs'!$H$30,0)</f>
        <v>0</v>
      </c>
      <c r="X114" s="154">
        <f ca="1">IF(X96*12&lt;='Closing Funds - POHs'!$E$30,'Closing Funds - POHs'!$H$30,0)</f>
        <v>0</v>
      </c>
      <c r="Y114" s="154">
        <f ca="1">IF(Y96*12&lt;='Closing Funds - POHs'!$E$30,'Closing Funds - POHs'!$H$30,0)</f>
        <v>0</v>
      </c>
      <c r="Z114" s="154">
        <f ca="1">IF(Z96*12&lt;='Closing Funds - POHs'!$E$30,'Closing Funds - POHs'!$H$30,0)</f>
        <v>0</v>
      </c>
      <c r="AA114" s="154">
        <f ca="1">IF(AA96*12&lt;='Closing Funds - POHs'!$E$30,'Closing Funds - POHs'!$H$30,0)</f>
        <v>0</v>
      </c>
      <c r="AB114" s="154">
        <f ca="1">IF(AB96*12&lt;='Closing Funds - POHs'!$E$30,'Closing Funds - POHs'!$H$30,0)</f>
        <v>0</v>
      </c>
      <c r="AC114" s="154">
        <f ca="1">IF(AC96*12&lt;='Closing Funds - POHs'!$E$30,'Closing Funds - POHs'!$H$30,0)</f>
        <v>0</v>
      </c>
      <c r="AD114" s="154">
        <f ca="1">IF(AD96*12&lt;='Closing Funds - POHs'!$E$30,'Closing Funds - POHs'!$H$30,0)</f>
        <v>0</v>
      </c>
      <c r="AE114" s="154">
        <f ca="1">IF(AE96*12&lt;='Closing Funds - POHs'!$E$30,'Closing Funds - POHs'!$H$30,0)</f>
        <v>0</v>
      </c>
      <c r="AF114" s="154">
        <f ca="1">IF(AF96*12&lt;='Closing Funds - POHs'!$E$30,'Closing Funds - POHs'!$H$30,0)</f>
        <v>0</v>
      </c>
      <c r="AG114" s="154">
        <f ca="1">IF(AG96*12&lt;='Closing Funds - POHs'!$E$30,'Closing Funds - POHs'!$H$30,0)</f>
        <v>0</v>
      </c>
      <c r="AH114" s="154">
        <f ca="1">IF(AH96*12&lt;='Closing Funds - POHs'!$E$30,'Closing Funds - POHs'!$H$30,0)</f>
        <v>0</v>
      </c>
      <c r="AI114" s="154">
        <f ca="1">IF(AI96*12&lt;='Closing Funds - POHs'!$E$30,'Closing Funds - POHs'!$H$30,0)</f>
        <v>0</v>
      </c>
      <c r="AJ114" s="154">
        <f ca="1">-DispositionFee*AJ104</f>
        <v>0</v>
      </c>
      <c r="AK114" s="689"/>
      <c r="AL114" s="689"/>
      <c r="AM114" s="689"/>
      <c r="AN114" s="689"/>
      <c r="AO114" s="689"/>
      <c r="AP114" s="689"/>
      <c r="AQ114" s="689"/>
      <c r="AR114" s="689"/>
      <c r="AS114" s="689"/>
      <c r="AT114" s="689"/>
      <c r="AU114" s="689"/>
      <c r="AV114" s="689"/>
      <c r="AW114" s="689"/>
      <c r="AX114" s="689"/>
      <c r="AY114" s="689"/>
      <c r="AZ114" s="689"/>
      <c r="BA114" s="689"/>
      <c r="BB114" s="689"/>
      <c r="BC114" s="689"/>
      <c r="BD114" s="689"/>
      <c r="BE114" s="689"/>
      <c r="BF114" s="689"/>
      <c r="BG114" s="689"/>
      <c r="BH114" s="689"/>
      <c r="BI114" s="689"/>
      <c r="BJ114" s="689"/>
      <c r="BK114" s="689"/>
      <c r="BL114" s="689"/>
      <c r="BM114" s="689"/>
      <c r="BN114" s="689"/>
      <c r="BO114" s="689"/>
      <c r="BP114" s="689"/>
      <c r="BQ114" s="689"/>
      <c r="BR114" s="689"/>
      <c r="BS114" s="689"/>
      <c r="BT114" s="689"/>
      <c r="BU114" s="689"/>
      <c r="BV114" s="689"/>
      <c r="BW114" s="689"/>
      <c r="BX114" s="689"/>
      <c r="BY114" s="689"/>
      <c r="BZ114" s="689"/>
    </row>
    <row r="115" spans="3:78" x14ac:dyDescent="0.15">
      <c r="C115" s="636" t="s">
        <v>221</v>
      </c>
      <c r="D115" s="28"/>
      <c r="E115" s="633"/>
      <c r="F115" s="154">
        <v>0</v>
      </c>
      <c r="G115" s="154">
        <f>+H95</f>
        <v>0</v>
      </c>
      <c r="H115" s="154">
        <f>+I95</f>
        <v>0</v>
      </c>
      <c r="I115" s="154">
        <f>J95</f>
        <v>0</v>
      </c>
      <c r="J115" s="154">
        <f ca="1">K95</f>
        <v>5080403.9485549368</v>
      </c>
      <c r="K115" s="154">
        <f t="shared" ref="K115:AG115" si="227">L95</f>
        <v>0</v>
      </c>
      <c r="L115" s="154">
        <f t="shared" si="227"/>
        <v>0</v>
      </c>
      <c r="M115" s="154">
        <f t="shared" si="227"/>
        <v>0</v>
      </c>
      <c r="N115" s="154">
        <f t="shared" si="227"/>
        <v>0</v>
      </c>
      <c r="O115" s="154">
        <f t="shared" si="227"/>
        <v>0</v>
      </c>
      <c r="P115" s="154">
        <f t="shared" si="227"/>
        <v>0</v>
      </c>
      <c r="Q115" s="154">
        <f t="shared" si="227"/>
        <v>0</v>
      </c>
      <c r="R115" s="154">
        <f t="shared" si="227"/>
        <v>0</v>
      </c>
      <c r="S115" s="154">
        <f t="shared" si="227"/>
        <v>0</v>
      </c>
      <c r="T115" s="154">
        <f t="shared" si="227"/>
        <v>0</v>
      </c>
      <c r="U115" s="154">
        <f t="shared" si="227"/>
        <v>0</v>
      </c>
      <c r="V115" s="154">
        <f t="shared" si="227"/>
        <v>0</v>
      </c>
      <c r="W115" s="154">
        <f t="shared" si="227"/>
        <v>0</v>
      </c>
      <c r="X115" s="154">
        <f t="shared" si="227"/>
        <v>0</v>
      </c>
      <c r="Y115" s="154">
        <f t="shared" si="227"/>
        <v>0</v>
      </c>
      <c r="Z115" s="154">
        <f t="shared" si="227"/>
        <v>0</v>
      </c>
      <c r="AA115" s="154">
        <f t="shared" si="227"/>
        <v>0</v>
      </c>
      <c r="AB115" s="154">
        <f t="shared" si="227"/>
        <v>0</v>
      </c>
      <c r="AC115" s="154">
        <f t="shared" si="227"/>
        <v>0</v>
      </c>
      <c r="AD115" s="154">
        <f t="shared" si="227"/>
        <v>0</v>
      </c>
      <c r="AE115" s="154">
        <f t="shared" si="227"/>
        <v>0</v>
      </c>
      <c r="AF115" s="154">
        <f t="shared" si="227"/>
        <v>0</v>
      </c>
      <c r="AG115" s="154">
        <f t="shared" si="227"/>
        <v>0</v>
      </c>
      <c r="AH115" s="154">
        <f>AJ95</f>
        <v>0</v>
      </c>
      <c r="AI115" s="154">
        <f t="shared" ref="AI115:AJ115" si="228">AK95</f>
        <v>0</v>
      </c>
      <c r="AJ115" s="154">
        <f t="shared" si="228"/>
        <v>0</v>
      </c>
      <c r="AK115" s="689"/>
      <c r="AL115" s="689"/>
      <c r="AM115" s="689"/>
      <c r="AN115" s="689"/>
      <c r="AO115" s="689"/>
      <c r="AP115" s="689"/>
      <c r="AQ115" s="689"/>
      <c r="AR115" s="689"/>
      <c r="AS115" s="689"/>
      <c r="AT115" s="689"/>
      <c r="AU115" s="689"/>
      <c r="AV115" s="689"/>
      <c r="AW115" s="689"/>
      <c r="AX115" s="689"/>
      <c r="AY115" s="689"/>
      <c r="AZ115" s="689"/>
      <c r="BA115" s="689"/>
      <c r="BB115" s="689"/>
      <c r="BC115" s="689"/>
      <c r="BD115" s="689"/>
      <c r="BE115" s="689"/>
      <c r="BF115" s="689"/>
      <c r="BG115" s="689"/>
      <c r="BH115" s="689"/>
      <c r="BI115" s="689"/>
      <c r="BJ115" s="689"/>
      <c r="BK115" s="689"/>
      <c r="BL115" s="689"/>
      <c r="BM115" s="689"/>
      <c r="BN115" s="689"/>
      <c r="BO115" s="689"/>
      <c r="BP115" s="689"/>
      <c r="BQ115" s="689"/>
      <c r="BR115" s="689"/>
      <c r="BS115" s="689"/>
      <c r="BT115" s="689"/>
      <c r="BU115" s="689"/>
      <c r="BV115" s="689"/>
      <c r="BW115" s="689"/>
      <c r="BX115" s="689"/>
      <c r="BY115" s="689"/>
      <c r="BZ115" s="689"/>
    </row>
    <row r="116" spans="3:78" x14ac:dyDescent="0.15">
      <c r="C116" s="636" t="s">
        <v>222</v>
      </c>
      <c r="D116" s="28"/>
      <c r="E116" s="108"/>
      <c r="F116" s="154">
        <v>0</v>
      </c>
      <c r="G116" s="154">
        <v>0</v>
      </c>
      <c r="H116" s="154">
        <v>0</v>
      </c>
      <c r="I116" s="154">
        <v>0</v>
      </c>
      <c r="J116" s="154">
        <v>0</v>
      </c>
      <c r="K116" s="154">
        <v>0</v>
      </c>
      <c r="L116" s="154">
        <v>0</v>
      </c>
      <c r="M116" s="154">
        <v>0</v>
      </c>
      <c r="N116" s="154">
        <v>0</v>
      </c>
      <c r="O116" s="154">
        <v>0</v>
      </c>
      <c r="P116" s="154">
        <v>0</v>
      </c>
      <c r="Q116" s="154">
        <v>0</v>
      </c>
      <c r="R116" s="154">
        <v>0</v>
      </c>
      <c r="S116" s="154">
        <v>0</v>
      </c>
      <c r="T116" s="154">
        <v>0</v>
      </c>
      <c r="U116" s="154">
        <v>0</v>
      </c>
      <c r="V116" s="154">
        <v>0</v>
      </c>
      <c r="W116" s="154">
        <v>0</v>
      </c>
      <c r="X116" s="154">
        <v>0</v>
      </c>
      <c r="Y116" s="154">
        <v>0</v>
      </c>
      <c r="Z116" s="154">
        <v>0</v>
      </c>
      <c r="AA116" s="154">
        <v>0</v>
      </c>
      <c r="AB116" s="154">
        <v>0</v>
      </c>
      <c r="AC116" s="154">
        <v>0</v>
      </c>
      <c r="AD116" s="154">
        <v>0</v>
      </c>
      <c r="AE116" s="154">
        <v>0</v>
      </c>
      <c r="AF116" s="154">
        <v>0</v>
      </c>
      <c r="AG116" s="154">
        <v>0</v>
      </c>
      <c r="AH116" s="154">
        <v>0</v>
      </c>
      <c r="AI116" s="154">
        <v>0</v>
      </c>
      <c r="AJ116" s="154">
        <f ca="1">AJ104-AJ99</f>
        <v>35120609.603219561</v>
      </c>
      <c r="AK116" s="689"/>
      <c r="AL116" s="689"/>
      <c r="AM116" s="689"/>
      <c r="AN116" s="689"/>
      <c r="AO116" s="689"/>
      <c r="AP116" s="689"/>
      <c r="AQ116" s="689"/>
      <c r="AR116" s="689"/>
      <c r="AS116" s="689"/>
      <c r="AT116" s="689"/>
      <c r="AU116" s="689"/>
      <c r="AV116" s="689"/>
      <c r="AW116" s="689"/>
      <c r="AX116" s="689"/>
      <c r="AY116" s="689"/>
      <c r="AZ116" s="689"/>
      <c r="BA116" s="689"/>
      <c r="BB116" s="689"/>
      <c r="BC116" s="689"/>
      <c r="BD116" s="689"/>
      <c r="BE116" s="689"/>
      <c r="BF116" s="689"/>
      <c r="BG116" s="689"/>
      <c r="BH116" s="689"/>
      <c r="BI116" s="689"/>
      <c r="BJ116" s="689"/>
      <c r="BK116" s="689"/>
      <c r="BL116" s="689"/>
      <c r="BM116" s="689"/>
      <c r="BN116" s="689"/>
      <c r="BO116" s="689"/>
      <c r="BP116" s="689"/>
      <c r="BQ116" s="689"/>
      <c r="BR116" s="689"/>
      <c r="BS116" s="689"/>
      <c r="BT116" s="689"/>
      <c r="BU116" s="689"/>
      <c r="BV116" s="689"/>
      <c r="BW116" s="689"/>
      <c r="BX116" s="689"/>
      <c r="BY116" s="689"/>
      <c r="BZ116" s="689"/>
    </row>
    <row r="117" spans="3:78" ht="14" thickBot="1" x14ac:dyDescent="0.2">
      <c r="C117" s="743" t="s">
        <v>223</v>
      </c>
      <c r="D117" s="777"/>
      <c r="E117" s="778">
        <f>-(D8-F94)+E111</f>
        <v>-3909999.8119999999</v>
      </c>
      <c r="F117" s="778">
        <f t="shared" ref="F117:AH117" ca="1" si="229">SUM(F106:F116)</f>
        <v>10652.798011256869</v>
      </c>
      <c r="G117" s="778">
        <f t="shared" ca="1" si="229"/>
        <v>120215.65601125683</v>
      </c>
      <c r="H117" s="778">
        <f t="shared" ca="1" si="229"/>
        <v>245655.07217125685</v>
      </c>
      <c r="I117" s="778">
        <f t="shared" ca="1" si="229"/>
        <v>377450.37765445677</v>
      </c>
      <c r="J117" s="778">
        <f t="shared" ca="1" si="229"/>
        <v>5589631.2188022574</v>
      </c>
      <c r="K117" s="778">
        <f t="shared" ca="1" si="229"/>
        <v>137895.57662283455</v>
      </c>
      <c r="L117" s="778">
        <f t="shared" ca="1" si="229"/>
        <v>169772.94098285027</v>
      </c>
      <c r="M117" s="778">
        <f t="shared" ca="1" si="229"/>
        <v>203017.52645099408</v>
      </c>
      <c r="N117" s="778">
        <f t="shared" ca="1" si="229"/>
        <v>237685.86440226634</v>
      </c>
      <c r="O117" s="778">
        <f t="shared" ca="1" si="229"/>
        <v>273836.78431727935</v>
      </c>
      <c r="P117" s="778">
        <f t="shared" ca="1" si="229"/>
        <v>311531.50644349726</v>
      </c>
      <c r="Q117" s="778">
        <f t="shared" ca="1" si="229"/>
        <v>350833.73817766004</v>
      </c>
      <c r="R117" s="778">
        <f t="shared" ca="1" si="229"/>
        <v>391809.77431854373</v>
      </c>
      <c r="S117" s="778">
        <f t="shared" ca="1" si="229"/>
        <v>434528.60134516342</v>
      </c>
      <c r="T117" s="778">
        <f t="shared" ca="1" si="229"/>
        <v>479062.00588175119</v>
      </c>
      <c r="U117" s="778">
        <f t="shared" ca="1" si="229"/>
        <v>525484.6875172836</v>
      </c>
      <c r="V117" s="778">
        <f t="shared" ca="1" si="229"/>
        <v>573874.37615406828</v>
      </c>
      <c r="W117" s="778">
        <f t="shared" ca="1" si="229"/>
        <v>624311.95406687178</v>
      </c>
      <c r="X117" s="778">
        <f t="shared" ca="1" si="229"/>
        <v>676881.58286134654</v>
      </c>
      <c r="Y117" s="778">
        <f t="shared" ca="1" si="229"/>
        <v>731670.83552806161</v>
      </c>
      <c r="Z117" s="778">
        <f t="shared" ca="1" si="229"/>
        <v>788770.83379631524</v>
      </c>
      <c r="AA117" s="778">
        <f t="shared" ca="1" si="229"/>
        <v>848276.39100006816</v>
      </c>
      <c r="AB117" s="778">
        <f t="shared" ca="1" si="229"/>
        <v>910286.16067683499</v>
      </c>
      <c r="AC117" s="778">
        <f t="shared" ca="1" si="229"/>
        <v>974902.7911292332</v>
      </c>
      <c r="AD117" s="778">
        <f t="shared" ca="1" si="229"/>
        <v>1042233.0861880592</v>
      </c>
      <c r="AE117" s="778">
        <f t="shared" ca="1" si="229"/>
        <v>1112388.1724253376</v>
      </c>
      <c r="AF117" s="778">
        <f t="shared" ca="1" si="229"/>
        <v>1185483.6730757277</v>
      </c>
      <c r="AG117" s="778">
        <f t="shared" ca="1" si="229"/>
        <v>1261639.8889350262</v>
      </c>
      <c r="AH117" s="778">
        <f t="shared" ca="1" si="229"/>
        <v>1340981.9865152473</v>
      </c>
      <c r="AI117" s="778">
        <f t="shared" ref="AI117:AJ117" ca="1" si="230">SUM(AI106:AI116)</f>
        <v>1423640.1937469612</v>
      </c>
      <c r="AJ117" s="778">
        <f t="shared" ca="1" si="230"/>
        <v>36630359.606750749</v>
      </c>
      <c r="AK117" s="689"/>
      <c r="AL117" s="689"/>
      <c r="AM117" s="689"/>
      <c r="AN117" s="689"/>
      <c r="AO117" s="689"/>
      <c r="AP117" s="689"/>
      <c r="AQ117" s="689"/>
      <c r="AR117" s="689"/>
      <c r="AS117" s="689"/>
      <c r="AT117" s="689"/>
      <c r="AU117" s="689"/>
      <c r="AV117" s="689"/>
      <c r="AW117" s="689"/>
      <c r="AX117" s="689"/>
      <c r="AY117" s="689"/>
      <c r="AZ117" s="689"/>
      <c r="BA117" s="689"/>
      <c r="BB117" s="689"/>
      <c r="BC117" s="689"/>
      <c r="BD117" s="689"/>
      <c r="BE117" s="689"/>
      <c r="BF117" s="689"/>
      <c r="BG117" s="689"/>
      <c r="BH117" s="689"/>
      <c r="BI117" s="689"/>
      <c r="BJ117" s="689"/>
      <c r="BK117" s="689"/>
      <c r="BL117" s="689"/>
      <c r="BM117" s="689"/>
      <c r="BN117" s="689"/>
      <c r="BO117" s="689"/>
      <c r="BP117" s="689"/>
      <c r="BQ117" s="689"/>
      <c r="BR117" s="689"/>
      <c r="BS117" s="689"/>
      <c r="BT117" s="689"/>
      <c r="BU117" s="689"/>
      <c r="BV117" s="689"/>
      <c r="BW117" s="689"/>
      <c r="BX117" s="689"/>
      <c r="BY117" s="689"/>
      <c r="BZ117" s="689"/>
    </row>
    <row r="118" spans="3:78" ht="14" thickTop="1" x14ac:dyDescent="0.15">
      <c r="C118" s="14"/>
      <c r="D118" s="14"/>
      <c r="E118" s="312" t="s">
        <v>224</v>
      </c>
      <c r="F118" s="292">
        <f t="shared" ref="F118:AH118" ca="1" si="231">F117/-$E$117</f>
        <v>2.7245009011414422E-3</v>
      </c>
      <c r="G118" s="292">
        <f t="shared" ca="1" si="231"/>
        <v>3.07456935527998E-2</v>
      </c>
      <c r="H118" s="292">
        <f t="shared" ca="1" si="231"/>
        <v>6.2827387207878685E-2</v>
      </c>
      <c r="I118" s="292">
        <f t="shared" ca="1" si="231"/>
        <v>9.6534628082600216E-2</v>
      </c>
      <c r="J118" s="292">
        <f t="shared" ca="1" si="231"/>
        <v>1.4295732704762232</v>
      </c>
      <c r="K118" s="292">
        <f t="shared" ca="1" si="231"/>
        <v>3.5267412596702845E-2</v>
      </c>
      <c r="L118" s="292">
        <f t="shared" ca="1" si="231"/>
        <v>4.3420191597403145E-2</v>
      </c>
      <c r="M118" s="292">
        <f t="shared" ca="1" si="231"/>
        <v>5.192264353259618E-2</v>
      </c>
      <c r="N118" s="292">
        <f t="shared" ca="1" si="231"/>
        <v>6.0789226555151135E-2</v>
      </c>
      <c r="O118" s="292">
        <f t="shared" ca="1" si="231"/>
        <v>7.0034986568761337E-2</v>
      </c>
      <c r="P118" s="292">
        <f t="shared" ca="1" si="231"/>
        <v>7.9675580926472242E-2</v>
      </c>
      <c r="Q118" s="292">
        <f t="shared" ca="1" si="231"/>
        <v>8.9727303080918933E-2</v>
      </c>
      <c r="R118" s="292">
        <f t="shared" ca="1" si="231"/>
        <v>0.10020710822441946</v>
      </c>
      <c r="S118" s="292">
        <f t="shared" ca="1" si="231"/>
        <v>0.11113263995859328</v>
      </c>
      <c r="T118" s="292">
        <f t="shared" ca="1" si="231"/>
        <v>0.12252225803476617</v>
      </c>
      <c r="U118" s="292">
        <f t="shared" ca="1" si="231"/>
        <v>0.13439506720807065</v>
      </c>
      <c r="V118" s="292">
        <f t="shared" ca="1" si="231"/>
        <v>0.14677094724987375</v>
      </c>
      <c r="W118" s="292">
        <f t="shared" ca="1" si="231"/>
        <v>0.1596705841649467</v>
      </c>
      <c r="X118" s="292">
        <f t="shared" ca="1" si="231"/>
        <v>0.17311550266165243</v>
      </c>
      <c r="Y118" s="292">
        <f t="shared" ca="1" si="231"/>
        <v>0.18712809992535662</v>
      </c>
      <c r="Z118" s="292">
        <f t="shared" ca="1" si="231"/>
        <v>0.20173168074728165</v>
      </c>
      <c r="AA118" s="292">
        <f t="shared" ca="1" si="231"/>
        <v>0.21695049406311026</v>
      </c>
      <c r="AB118" s="292">
        <f t="shared" ca="1" si="231"/>
        <v>0.23280977095781891</v>
      </c>
      <c r="AC118" s="292">
        <f t="shared" ca="1" si="231"/>
        <v>0.2493357641954877</v>
      </c>
      <c r="AD118" s="292">
        <f t="shared" ca="1" si="231"/>
        <v>0.26655578933517843</v>
      </c>
      <c r="AE118" s="292">
        <f t="shared" ca="1" si="231"/>
        <v>0.28449826749642249</v>
      </c>
      <c r="AF118" s="292">
        <f t="shared" ca="1" si="231"/>
        <v>0.30319276984040111</v>
      </c>
      <c r="AG118" s="292">
        <f t="shared" ca="1" si="231"/>
        <v>0.32267006383554941</v>
      </c>
      <c r="AH118" s="292">
        <f t="shared" ca="1" si="231"/>
        <v>0.34296216137906232</v>
      </c>
      <c r="AI118" s="292">
        <f t="shared" ref="AI118:AJ118" ca="1" si="232">AI117/-$E$117</f>
        <v>0.36410236884864616</v>
      </c>
      <c r="AJ118" s="292">
        <f t="shared" ca="1" si="232"/>
        <v>9.368378866497693</v>
      </c>
      <c r="AK118" s="689"/>
      <c r="AL118" s="689"/>
      <c r="AM118" s="689"/>
      <c r="AN118" s="689"/>
      <c r="AO118" s="689"/>
      <c r="AP118" s="689"/>
      <c r="AQ118" s="689"/>
      <c r="AR118" s="689"/>
      <c r="AS118" s="689"/>
      <c r="AT118" s="689"/>
      <c r="AU118" s="689"/>
      <c r="AV118" s="689"/>
      <c r="AW118" s="689"/>
      <c r="AX118" s="689"/>
      <c r="AY118" s="689"/>
      <c r="AZ118" s="689"/>
      <c r="BA118" s="689"/>
      <c r="BB118" s="689"/>
      <c r="BC118" s="689"/>
      <c r="BD118" s="689"/>
      <c r="BE118" s="689"/>
      <c r="BF118" s="689"/>
      <c r="BG118" s="689"/>
      <c r="BH118" s="689"/>
      <c r="BI118" s="689"/>
      <c r="BJ118" s="689"/>
      <c r="BK118" s="689"/>
      <c r="BL118" s="689"/>
      <c r="BM118" s="689"/>
      <c r="BN118" s="689"/>
      <c r="BO118" s="689"/>
      <c r="BP118" s="689"/>
      <c r="BQ118" s="689"/>
      <c r="BR118" s="689"/>
      <c r="BS118" s="689"/>
      <c r="BT118" s="689"/>
      <c r="BU118" s="689"/>
      <c r="BV118" s="689"/>
      <c r="BW118" s="689"/>
      <c r="BX118" s="689"/>
      <c r="BY118" s="689"/>
      <c r="BZ118" s="689"/>
    </row>
    <row r="119" spans="3:78" x14ac:dyDescent="0.15">
      <c r="C119" s="11" t="s">
        <v>225</v>
      </c>
      <c r="D119" s="37">
        <f ca="1">IRR(E117:AJ117)</f>
        <v>0.18013010928277251</v>
      </c>
      <c r="E119" s="633"/>
      <c r="F119" s="689"/>
      <c r="G119" s="293" t="str">
        <f ca="1">"Cumm.= "&amp;TEXT((SUM($F118:G118)),"0.0%")</f>
        <v>Cumm.= 3.3%</v>
      </c>
      <c r="H119" s="293" t="str">
        <f ca="1">"Cumm.= "&amp;TEXT((SUM($F118:H118)),"0.0%")</f>
        <v>Cumm.= 9.6%</v>
      </c>
      <c r="I119" s="293" t="str">
        <f ca="1">"Cumm.= "&amp;TEXT((SUM($F118:I118)),"0.0%")</f>
        <v>Cumm.= 19.3%</v>
      </c>
      <c r="J119" s="293" t="str">
        <f ca="1">"Cumm.= "&amp;TEXT((SUM($F118:J118)),"0.0%")</f>
        <v>Cumm.= 162.2%</v>
      </c>
      <c r="K119" s="293" t="str">
        <f ca="1">"Cumm.= "&amp;TEXT((SUM($F118:K118)),"0.0%")</f>
        <v>Cumm.= 165.8%</v>
      </c>
      <c r="L119" s="293" t="str">
        <f ca="1">"Cumm.= "&amp;TEXT((SUM($F118:L118)),"0.0%")</f>
        <v>Cumm.= 170.1%</v>
      </c>
      <c r="M119" s="293" t="str">
        <f ca="1">"Cumm.= "&amp;TEXT((SUM($F118:M118)),"0.0%")</f>
        <v>Cumm.= 175.3%</v>
      </c>
      <c r="N119" s="293" t="str">
        <f ca="1">"Cumm.= "&amp;TEXT((SUM($F118:N118)),"0.0%")</f>
        <v>Cumm.= 181.4%</v>
      </c>
      <c r="O119" s="293" t="str">
        <f ca="1">"Cumm.= "&amp;TEXT((SUM($F118:O118)),"0.0%")</f>
        <v>Cumm.= 188.4%</v>
      </c>
      <c r="P119" s="293" t="str">
        <f ca="1">"Cumm.= "&amp;TEXT((SUM($F118:P118)),"0.0%")</f>
        <v>Cumm.= 196.4%</v>
      </c>
      <c r="Q119" s="293" t="str">
        <f ca="1">"Cumm.= "&amp;TEXT((SUM($F118:Q118)),"0.0%")</f>
        <v>Cumm.= 205.3%</v>
      </c>
      <c r="R119" s="293" t="str">
        <f ca="1">"Cumm.= "&amp;TEXT((SUM($F118:R118)),"0.0%")</f>
        <v>Cumm.= 215.3%</v>
      </c>
      <c r="S119" s="293" t="str">
        <f ca="1">"Cumm.= "&amp;TEXT((SUM($F118:S118)),"0.0%")</f>
        <v>Cumm.= 226.5%</v>
      </c>
      <c r="T119" s="293" t="str">
        <f ca="1">"Cumm.= "&amp;TEXT((SUM($F118:T118)),"0.0%")</f>
        <v>Cumm.= 238.7%</v>
      </c>
      <c r="U119" s="293" t="str">
        <f ca="1">"Cumm.= "&amp;TEXT((SUM($F118:U118)),"0.0%")</f>
        <v>Cumm.= 252.1%</v>
      </c>
      <c r="V119" s="293" t="str">
        <f ca="1">"Cumm.= "&amp;TEXT((SUM($F118:V118)),"0.0%")</f>
        <v>Cumm.= 266.8%</v>
      </c>
      <c r="W119" s="293" t="str">
        <f ca="1">"Cumm.= "&amp;TEXT((SUM($F118:W118)),"0.0%")</f>
        <v>Cumm.= 282.8%</v>
      </c>
      <c r="X119" s="293" t="str">
        <f ca="1">"Cumm.= "&amp;TEXT((SUM($F118:X118)),"0.0%")</f>
        <v>Cumm.= 300.1%</v>
      </c>
      <c r="Y119" s="293" t="str">
        <f ca="1">"Cumm.= "&amp;TEXT((SUM($F118:Y118)),"0.0%")</f>
        <v>Cumm.= 318.8%</v>
      </c>
      <c r="Z119" s="293" t="str">
        <f ca="1">"Cumm.= "&amp;TEXT((SUM($F118:Z118)),"0.0%")</f>
        <v>Cumm.= 339.0%</v>
      </c>
      <c r="AA119" s="293" t="str">
        <f ca="1">"Cumm.= "&amp;TEXT((SUM($F118:AA118)),"0.0%")</f>
        <v>Cumm.= 360.7%</v>
      </c>
      <c r="AB119" s="293" t="str">
        <f ca="1">"Cumm.= "&amp;TEXT((SUM($F118:AB118)),"0.0%")</f>
        <v>Cumm.= 384.0%</v>
      </c>
      <c r="AC119" s="293" t="str">
        <f ca="1">"Cumm.= "&amp;TEXT((SUM($F118:AC118)),"0.0%")</f>
        <v>Cumm.= 408.9%</v>
      </c>
      <c r="AD119" s="293" t="str">
        <f ca="1">"Cumm.= "&amp;TEXT((SUM($F118:AD118)),"0.0%")</f>
        <v>Cumm.= 435.6%</v>
      </c>
      <c r="AE119" s="293" t="str">
        <f ca="1">"Cumm.= "&amp;TEXT((SUM($F118:AE118)),"0.0%")</f>
        <v>Cumm.= 464.0%</v>
      </c>
      <c r="AF119" s="293" t="str">
        <f ca="1">"Cumm.= "&amp;TEXT((SUM($F118:AF118)),"0.0%")</f>
        <v>Cumm.= 494.3%</v>
      </c>
      <c r="AG119" s="293" t="str">
        <f ca="1">"Cumm.= "&amp;TEXT((SUM($F118:AG118)),"0.0%")</f>
        <v>Cumm.= 526.6%</v>
      </c>
      <c r="AH119" s="293" t="str">
        <f ca="1">"Cumm.= "&amp;TEXT((SUM($F118:AH118)),"0.0%")</f>
        <v>Cumm.= 560.9%</v>
      </c>
      <c r="AI119" s="293" t="str">
        <f ca="1">"Cumm.= "&amp;TEXT((SUM($F118:AI118)),"0.0%")</f>
        <v>Cumm.= 597.3%</v>
      </c>
      <c r="AJ119" s="293" t="str">
        <f ca="1">"Cumm.= "&amp;TEXT((SUM($F118:AJ118)),"0.0%")</f>
        <v>Cumm.= 1534.1%</v>
      </c>
      <c r="AK119" s="689"/>
      <c r="AL119" s="689"/>
      <c r="AM119" s="689"/>
      <c r="AN119" s="689"/>
      <c r="AO119" s="689"/>
      <c r="AP119" s="689"/>
      <c r="AQ119" s="689"/>
      <c r="AR119" s="689"/>
      <c r="AS119" s="689"/>
      <c r="AT119" s="689"/>
      <c r="AU119" s="689"/>
      <c r="AV119" s="689"/>
      <c r="AW119" s="689"/>
      <c r="AX119" s="689"/>
      <c r="AY119" s="689"/>
      <c r="AZ119" s="689"/>
      <c r="BA119" s="689"/>
      <c r="BB119" s="689"/>
      <c r="BC119" s="689"/>
      <c r="BD119" s="689"/>
      <c r="BE119" s="689"/>
      <c r="BF119" s="689"/>
      <c r="BG119" s="689"/>
      <c r="BH119" s="689"/>
      <c r="BI119" s="689"/>
      <c r="BJ119" s="689"/>
      <c r="BK119" s="689"/>
      <c r="BL119" s="689"/>
      <c r="BM119" s="689"/>
      <c r="BN119" s="689"/>
      <c r="BO119" s="689"/>
      <c r="BP119" s="689"/>
      <c r="BQ119" s="689"/>
      <c r="BR119" s="689"/>
      <c r="BS119" s="689"/>
      <c r="BT119" s="689"/>
      <c r="BU119" s="689"/>
      <c r="BV119" s="689"/>
      <c r="BW119" s="689"/>
      <c r="BX119" s="689"/>
      <c r="BY119" s="689"/>
      <c r="BZ119" s="689"/>
    </row>
    <row r="120" spans="3:78" x14ac:dyDescent="0.15">
      <c r="C120" s="11"/>
      <c r="D120" s="28"/>
      <c r="E120" s="37"/>
      <c r="F120" s="689"/>
      <c r="G120" s="689"/>
      <c r="H120" s="689"/>
      <c r="I120" s="689"/>
      <c r="J120" s="689"/>
      <c r="K120" s="689"/>
      <c r="L120" s="689"/>
      <c r="M120" s="689"/>
      <c r="N120" s="689"/>
      <c r="O120" s="689"/>
      <c r="P120" s="294"/>
      <c r="Q120" s="689"/>
      <c r="R120" s="689"/>
      <c r="S120" s="689"/>
      <c r="T120" s="689"/>
      <c r="U120" s="689"/>
      <c r="V120" s="689"/>
      <c r="W120" s="689"/>
      <c r="X120" s="689"/>
      <c r="Y120" s="689"/>
      <c r="Z120" s="689"/>
      <c r="AA120" s="689"/>
      <c r="AB120" s="689"/>
      <c r="AC120" s="689"/>
      <c r="AD120" s="689"/>
      <c r="AE120" s="689"/>
      <c r="AF120" s="689"/>
      <c r="AG120" s="689"/>
      <c r="AH120" s="689"/>
      <c r="AI120" s="689"/>
      <c r="AJ120" s="689"/>
      <c r="AK120" s="689"/>
      <c r="AL120" s="689"/>
      <c r="AM120" s="689"/>
      <c r="AN120" s="689"/>
      <c r="AO120" s="689"/>
      <c r="AP120" s="689"/>
      <c r="AQ120" s="689"/>
      <c r="AR120" s="689"/>
      <c r="AS120" s="689"/>
      <c r="AT120" s="689"/>
      <c r="AU120" s="689"/>
      <c r="AV120" s="689"/>
      <c r="AW120" s="689"/>
      <c r="AX120" s="689"/>
      <c r="AY120" s="689"/>
      <c r="AZ120" s="689"/>
      <c r="BA120" s="689"/>
      <c r="BB120" s="689"/>
      <c r="BC120" s="689"/>
      <c r="BD120" s="689"/>
      <c r="BE120" s="689"/>
      <c r="BF120" s="689"/>
      <c r="BG120" s="689"/>
      <c r="BH120" s="689"/>
      <c r="BI120" s="689"/>
      <c r="BJ120" s="689"/>
      <c r="BK120" s="689"/>
      <c r="BL120" s="689"/>
      <c r="BM120" s="689"/>
      <c r="BN120" s="689"/>
      <c r="BO120" s="689"/>
      <c r="BP120" s="689"/>
      <c r="BQ120" s="689"/>
      <c r="BR120" s="689"/>
      <c r="BS120" s="689"/>
      <c r="BT120" s="689"/>
      <c r="BU120" s="689"/>
      <c r="BV120" s="689"/>
      <c r="BW120" s="689"/>
      <c r="BX120" s="689"/>
      <c r="BY120" s="689"/>
      <c r="BZ120" s="689"/>
    </row>
    <row r="121" spans="3:78" x14ac:dyDescent="0.15">
      <c r="C121" s="11" t="s">
        <v>226</v>
      </c>
      <c r="D121"/>
      <c r="E121" s="33"/>
      <c r="F121" s="33"/>
      <c r="G121" s="33"/>
      <c r="H121" s="33"/>
      <c r="I121" s="33"/>
      <c r="J121" s="33"/>
      <c r="K121" s="689"/>
      <c r="L121" s="689"/>
      <c r="M121" s="689"/>
      <c r="N121" s="689"/>
      <c r="O121" s="689"/>
      <c r="P121" s="689"/>
      <c r="Q121" s="689"/>
      <c r="R121" s="689"/>
      <c r="S121" s="689"/>
      <c r="T121" s="689"/>
      <c r="U121" s="689"/>
      <c r="V121" s="689"/>
      <c r="W121" s="689"/>
      <c r="X121" s="689"/>
      <c r="Y121" s="689"/>
      <c r="Z121" s="689"/>
      <c r="AA121" s="689"/>
      <c r="AB121" s="689"/>
      <c r="AC121" s="689"/>
      <c r="AD121" s="689"/>
      <c r="AE121" s="689"/>
      <c r="AF121" s="689"/>
      <c r="AG121" s="689"/>
      <c r="AH121" s="689"/>
      <c r="AI121" s="689"/>
      <c r="AJ121" s="689"/>
      <c r="AK121" s="689"/>
      <c r="AL121" s="689"/>
      <c r="AM121" s="689"/>
      <c r="AN121" s="689"/>
      <c r="AO121" s="689"/>
      <c r="AP121" s="689"/>
      <c r="AQ121" s="689"/>
      <c r="AR121" s="689"/>
      <c r="AS121" s="689"/>
      <c r="AT121" s="689"/>
      <c r="AU121" s="689"/>
      <c r="AV121" s="689"/>
      <c r="AW121" s="689"/>
      <c r="AX121" s="689"/>
      <c r="AY121" s="689"/>
      <c r="AZ121" s="689"/>
      <c r="BA121" s="689"/>
      <c r="BB121" s="689"/>
      <c r="BC121" s="689"/>
      <c r="BD121" s="689"/>
      <c r="BE121" s="689"/>
      <c r="BF121" s="689"/>
      <c r="BG121" s="689"/>
      <c r="BH121" s="689"/>
      <c r="BI121" s="689"/>
      <c r="BJ121" s="689"/>
      <c r="BK121" s="689"/>
      <c r="BL121" s="689"/>
      <c r="BM121" s="689"/>
      <c r="BN121" s="689"/>
      <c r="BO121" s="689"/>
      <c r="BP121" s="689"/>
      <c r="BQ121" s="689"/>
      <c r="BR121" s="689"/>
      <c r="BS121" s="689"/>
      <c r="BT121" s="689"/>
      <c r="BU121" s="689"/>
      <c r="BV121" s="689"/>
      <c r="BW121" s="689"/>
      <c r="BX121" s="689"/>
      <c r="BY121" s="689"/>
      <c r="BZ121" s="689"/>
    </row>
    <row r="122" spans="3:78" x14ac:dyDescent="0.15">
      <c r="C122" s="636" t="s">
        <v>227</v>
      </c>
      <c r="D122" s="33"/>
      <c r="E122" s="33"/>
      <c r="F122" s="33"/>
      <c r="G122" s="33"/>
      <c r="H122" s="33"/>
      <c r="I122" s="33"/>
      <c r="J122" s="33"/>
      <c r="K122" s="689"/>
      <c r="L122" s="689"/>
      <c r="M122" s="689"/>
      <c r="N122" s="689"/>
      <c r="O122" s="689"/>
      <c r="P122" s="689"/>
      <c r="Q122" s="689"/>
      <c r="R122" s="689"/>
      <c r="S122" s="689"/>
      <c r="T122" s="689"/>
      <c r="U122" s="689"/>
      <c r="V122" s="689"/>
      <c r="W122" s="689"/>
      <c r="X122" s="689"/>
      <c r="Y122" s="689"/>
      <c r="Z122" s="689"/>
      <c r="AA122" s="689"/>
      <c r="AB122" s="689"/>
      <c r="AC122" s="689"/>
      <c r="AD122" s="689"/>
      <c r="AE122" s="689"/>
      <c r="AF122" s="689"/>
      <c r="AG122" s="689"/>
      <c r="AH122" s="689"/>
      <c r="AI122" s="689"/>
      <c r="AJ122" s="689"/>
      <c r="AK122" s="689"/>
      <c r="AL122" s="689"/>
      <c r="AM122" s="689"/>
      <c r="AN122" s="689"/>
      <c r="AO122" s="689"/>
      <c r="AP122" s="689"/>
      <c r="AQ122" s="689"/>
      <c r="AR122" s="689"/>
      <c r="AS122" s="689"/>
      <c r="AT122" s="689"/>
      <c r="AU122" s="689"/>
      <c r="AV122" s="689"/>
      <c r="AW122" s="689"/>
      <c r="AX122" s="689"/>
      <c r="AY122" s="689"/>
      <c r="AZ122" s="689"/>
      <c r="BA122" s="689"/>
      <c r="BB122" s="689"/>
      <c r="BC122" s="689"/>
      <c r="BD122" s="689"/>
      <c r="BE122" s="689"/>
      <c r="BF122" s="689"/>
      <c r="BG122" s="689"/>
      <c r="BH122" s="689"/>
      <c r="BI122" s="689"/>
      <c r="BJ122" s="689"/>
      <c r="BK122" s="689"/>
      <c r="BL122" s="689"/>
      <c r="BM122" s="689"/>
      <c r="BN122" s="689"/>
      <c r="BO122" s="689"/>
      <c r="BP122" s="689"/>
      <c r="BQ122" s="689"/>
      <c r="BR122" s="689"/>
      <c r="BS122" s="689"/>
      <c r="BT122" s="689"/>
      <c r="BU122" s="689"/>
      <c r="BV122" s="689"/>
      <c r="BW122" s="689"/>
      <c r="BX122" s="689"/>
      <c r="BY122" s="689"/>
      <c r="BZ122" s="689"/>
    </row>
    <row r="123" spans="3:78" x14ac:dyDescent="0.15">
      <c r="C123" s="23" t="s">
        <v>228</v>
      </c>
      <c r="D123" s="633"/>
      <c r="E123" s="33"/>
      <c r="F123" s="33">
        <f>D6*(1-D93)+D7</f>
        <v>3909999.8119999999</v>
      </c>
      <c r="G123" s="33">
        <f t="shared" ref="G123:AH123" ca="1" si="233">F126</f>
        <v>4094847.0045887432</v>
      </c>
      <c r="H123" s="33">
        <f t="shared" ca="1" si="233"/>
        <v>4179373.6988069233</v>
      </c>
      <c r="I123" s="33">
        <f t="shared" ca="1" si="233"/>
        <v>4142687.3115760125</v>
      </c>
      <c r="J123" s="33">
        <f t="shared" ca="1" si="233"/>
        <v>3972371.2995003564</v>
      </c>
      <c r="K123" s="33">
        <f t="shared" ca="1" si="233"/>
        <v>0</v>
      </c>
      <c r="L123" s="33">
        <f t="shared" ca="1" si="233"/>
        <v>0</v>
      </c>
      <c r="M123" s="33">
        <f t="shared" ca="1" si="233"/>
        <v>0</v>
      </c>
      <c r="N123" s="33">
        <f t="shared" ca="1" si="233"/>
        <v>0</v>
      </c>
      <c r="O123" s="33">
        <f t="shared" ca="1" si="233"/>
        <v>0</v>
      </c>
      <c r="P123" s="33">
        <f t="shared" ca="1" si="233"/>
        <v>0</v>
      </c>
      <c r="Q123" s="33">
        <f t="shared" ca="1" si="233"/>
        <v>0</v>
      </c>
      <c r="R123" s="33">
        <f t="shared" ca="1" si="233"/>
        <v>0</v>
      </c>
      <c r="S123" s="33">
        <f t="shared" ca="1" si="233"/>
        <v>0</v>
      </c>
      <c r="T123" s="33">
        <f t="shared" ca="1" si="233"/>
        <v>0</v>
      </c>
      <c r="U123" s="33">
        <f t="shared" ca="1" si="233"/>
        <v>0</v>
      </c>
      <c r="V123" s="33">
        <f t="shared" ca="1" si="233"/>
        <v>0</v>
      </c>
      <c r="W123" s="33">
        <f t="shared" ca="1" si="233"/>
        <v>0</v>
      </c>
      <c r="X123" s="33">
        <f t="shared" ca="1" si="233"/>
        <v>0</v>
      </c>
      <c r="Y123" s="33">
        <f t="shared" ca="1" si="233"/>
        <v>0</v>
      </c>
      <c r="Z123" s="33">
        <f t="shared" ca="1" si="233"/>
        <v>0</v>
      </c>
      <c r="AA123" s="33">
        <f t="shared" ca="1" si="233"/>
        <v>0</v>
      </c>
      <c r="AB123" s="33">
        <f t="shared" ca="1" si="233"/>
        <v>0</v>
      </c>
      <c r="AC123" s="33">
        <f t="shared" ca="1" si="233"/>
        <v>0</v>
      </c>
      <c r="AD123" s="33">
        <f t="shared" ca="1" si="233"/>
        <v>0</v>
      </c>
      <c r="AE123" s="33">
        <f t="shared" ca="1" si="233"/>
        <v>0</v>
      </c>
      <c r="AF123" s="33">
        <f t="shared" ca="1" si="233"/>
        <v>0</v>
      </c>
      <c r="AG123" s="33">
        <f t="shared" ca="1" si="233"/>
        <v>0</v>
      </c>
      <c r="AH123" s="33">
        <f t="shared" ca="1" si="233"/>
        <v>0</v>
      </c>
      <c r="AI123" s="33">
        <f t="shared" ref="AI123" ca="1" si="234">AH126</f>
        <v>0</v>
      </c>
      <c r="AJ123" s="33">
        <f t="shared" ref="AJ123" ca="1" si="235">AI126</f>
        <v>0</v>
      </c>
      <c r="AK123" s="689"/>
      <c r="AL123" s="689"/>
      <c r="AM123" s="689"/>
      <c r="AN123" s="689"/>
      <c r="AO123" s="689"/>
      <c r="AP123" s="689"/>
      <c r="AQ123" s="689"/>
      <c r="AR123" s="689"/>
      <c r="AS123" s="689"/>
      <c r="AT123" s="689"/>
      <c r="AU123" s="689"/>
      <c r="AV123" s="689"/>
      <c r="AW123" s="689"/>
      <c r="AX123" s="689"/>
      <c r="AY123" s="689"/>
      <c r="AZ123" s="689"/>
      <c r="BA123" s="689"/>
      <c r="BB123" s="689"/>
      <c r="BC123" s="689"/>
      <c r="BD123" s="689"/>
      <c r="BE123" s="689"/>
      <c r="BF123" s="689"/>
      <c r="BG123" s="689"/>
      <c r="BH123" s="689"/>
      <c r="BI123" s="689"/>
      <c r="BJ123" s="689"/>
      <c r="BK123" s="689"/>
      <c r="BL123" s="689"/>
      <c r="BM123" s="689"/>
      <c r="BN123" s="689"/>
      <c r="BO123" s="689"/>
      <c r="BP123" s="689"/>
      <c r="BQ123" s="689"/>
      <c r="BR123" s="689"/>
      <c r="BS123" s="689"/>
      <c r="BT123" s="689"/>
      <c r="BU123" s="689"/>
      <c r="BV123" s="689"/>
      <c r="BW123" s="689"/>
      <c r="BX123" s="689"/>
      <c r="BY123" s="689"/>
      <c r="BZ123" s="689"/>
    </row>
    <row r="124" spans="3:78" x14ac:dyDescent="0.15">
      <c r="C124" s="23" t="s">
        <v>229</v>
      </c>
      <c r="D124" s="633"/>
      <c r="E124" s="33"/>
      <c r="F124" s="33">
        <f>F123*$K$24</f>
        <v>195499.99060000002</v>
      </c>
      <c r="G124" s="33">
        <f t="shared" ref="G124:AH124" ca="1" si="236">G123*$K$25</f>
        <v>204742.35022943717</v>
      </c>
      <c r="H124" s="33">
        <f t="shared" ca="1" si="236"/>
        <v>208968.68494034617</v>
      </c>
      <c r="I124" s="33">
        <f t="shared" ca="1" si="236"/>
        <v>207134.36557880064</v>
      </c>
      <c r="J124" s="33">
        <f t="shared" ca="1" si="236"/>
        <v>198618.56497501783</v>
      </c>
      <c r="K124" s="33">
        <f t="shared" ca="1" si="236"/>
        <v>0</v>
      </c>
      <c r="L124" s="33">
        <f t="shared" ca="1" si="236"/>
        <v>0</v>
      </c>
      <c r="M124" s="33">
        <f t="shared" ca="1" si="236"/>
        <v>0</v>
      </c>
      <c r="N124" s="33">
        <f t="shared" ca="1" si="236"/>
        <v>0</v>
      </c>
      <c r="O124" s="33">
        <f t="shared" ca="1" si="236"/>
        <v>0</v>
      </c>
      <c r="P124" s="33">
        <f t="shared" ca="1" si="236"/>
        <v>0</v>
      </c>
      <c r="Q124" s="33">
        <f t="shared" ca="1" si="236"/>
        <v>0</v>
      </c>
      <c r="R124" s="33">
        <f t="shared" ca="1" si="236"/>
        <v>0</v>
      </c>
      <c r="S124" s="33">
        <f t="shared" ca="1" si="236"/>
        <v>0</v>
      </c>
      <c r="T124" s="33">
        <f t="shared" ca="1" si="236"/>
        <v>0</v>
      </c>
      <c r="U124" s="33">
        <f t="shared" ca="1" si="236"/>
        <v>0</v>
      </c>
      <c r="V124" s="33">
        <f t="shared" ca="1" si="236"/>
        <v>0</v>
      </c>
      <c r="W124" s="33">
        <f t="shared" ca="1" si="236"/>
        <v>0</v>
      </c>
      <c r="X124" s="33">
        <f t="shared" ca="1" si="236"/>
        <v>0</v>
      </c>
      <c r="Y124" s="33">
        <f t="shared" ca="1" si="236"/>
        <v>0</v>
      </c>
      <c r="Z124" s="33">
        <f t="shared" ca="1" si="236"/>
        <v>0</v>
      </c>
      <c r="AA124" s="33">
        <f t="shared" ca="1" si="236"/>
        <v>0</v>
      </c>
      <c r="AB124" s="33">
        <f t="shared" ca="1" si="236"/>
        <v>0</v>
      </c>
      <c r="AC124" s="33">
        <f t="shared" ca="1" si="236"/>
        <v>0</v>
      </c>
      <c r="AD124" s="33">
        <f t="shared" ca="1" si="236"/>
        <v>0</v>
      </c>
      <c r="AE124" s="33">
        <f t="shared" ca="1" si="236"/>
        <v>0</v>
      </c>
      <c r="AF124" s="33">
        <f t="shared" ca="1" si="236"/>
        <v>0</v>
      </c>
      <c r="AG124" s="33">
        <f t="shared" ca="1" si="236"/>
        <v>0</v>
      </c>
      <c r="AH124" s="33">
        <f t="shared" ca="1" si="236"/>
        <v>0</v>
      </c>
      <c r="AI124" s="33">
        <f t="shared" ref="AI124:AJ124" ca="1" si="237">AI123*$K$25</f>
        <v>0</v>
      </c>
      <c r="AJ124" s="33">
        <f t="shared" ca="1" si="237"/>
        <v>0</v>
      </c>
      <c r="AK124" s="689"/>
      <c r="AL124" s="689"/>
      <c r="AM124" s="689"/>
      <c r="AN124" s="689"/>
      <c r="AO124" s="689"/>
      <c r="AP124" s="689"/>
      <c r="AQ124" s="689"/>
      <c r="AR124" s="689"/>
      <c r="AS124" s="689"/>
      <c r="AT124" s="689"/>
      <c r="AU124" s="689"/>
      <c r="AV124" s="689"/>
      <c r="AW124" s="689"/>
      <c r="AX124" s="689"/>
      <c r="AY124" s="689"/>
      <c r="AZ124" s="689"/>
      <c r="BA124" s="689"/>
      <c r="BB124" s="689"/>
      <c r="BC124" s="689"/>
      <c r="BD124" s="689"/>
      <c r="BE124" s="689"/>
      <c r="BF124" s="689"/>
      <c r="BG124" s="689"/>
      <c r="BH124" s="689"/>
      <c r="BI124" s="689"/>
      <c r="BJ124" s="689"/>
      <c r="BK124" s="689"/>
      <c r="BL124" s="689"/>
      <c r="BM124" s="689"/>
      <c r="BN124" s="689"/>
      <c r="BO124" s="689"/>
      <c r="BP124" s="689"/>
      <c r="BQ124" s="689"/>
      <c r="BR124" s="689"/>
      <c r="BS124" s="689"/>
      <c r="BT124" s="689"/>
      <c r="BU124" s="689"/>
      <c r="BV124" s="689"/>
      <c r="BW124" s="689"/>
      <c r="BX124" s="689"/>
      <c r="BY124" s="689"/>
      <c r="BZ124" s="689"/>
    </row>
    <row r="125" spans="3:78" x14ac:dyDescent="0.15">
      <c r="C125" s="23" t="s">
        <v>204</v>
      </c>
      <c r="D125" s="633"/>
      <c r="E125" s="33"/>
      <c r="F125" s="33">
        <f t="shared" ref="F125:O125" ca="1" si="238">MAX(-F123-F124,-F117)</f>
        <v>-10652.798011256869</v>
      </c>
      <c r="G125" s="33">
        <f t="shared" ca="1" si="238"/>
        <v>-120215.65601125683</v>
      </c>
      <c r="H125" s="33">
        <f t="shared" ca="1" si="238"/>
        <v>-245655.07217125685</v>
      </c>
      <c r="I125" s="33">
        <f t="shared" ca="1" si="238"/>
        <v>-377450.37765445677</v>
      </c>
      <c r="J125" s="33">
        <f t="shared" ca="1" si="238"/>
        <v>-4170989.8644753741</v>
      </c>
      <c r="K125" s="33">
        <f t="shared" ca="1" si="238"/>
        <v>0</v>
      </c>
      <c r="L125" s="33">
        <f t="shared" ca="1" si="238"/>
        <v>0</v>
      </c>
      <c r="M125" s="33">
        <f t="shared" ca="1" si="238"/>
        <v>0</v>
      </c>
      <c r="N125" s="33">
        <f t="shared" ca="1" si="238"/>
        <v>0</v>
      </c>
      <c r="O125" s="33">
        <f t="shared" ca="1" si="238"/>
        <v>0</v>
      </c>
      <c r="P125" s="33">
        <f t="shared" ref="P125:AH125" ca="1" si="239">MAX(-P123-P124,-P117-P95)</f>
        <v>0</v>
      </c>
      <c r="Q125" s="33">
        <f t="shared" ca="1" si="239"/>
        <v>0</v>
      </c>
      <c r="R125" s="33">
        <f t="shared" ca="1" si="239"/>
        <v>0</v>
      </c>
      <c r="S125" s="33">
        <f t="shared" ca="1" si="239"/>
        <v>0</v>
      </c>
      <c r="T125" s="33">
        <f t="shared" ca="1" si="239"/>
        <v>0</v>
      </c>
      <c r="U125" s="33">
        <f t="shared" ca="1" si="239"/>
        <v>0</v>
      </c>
      <c r="V125" s="33">
        <f t="shared" ca="1" si="239"/>
        <v>0</v>
      </c>
      <c r="W125" s="33">
        <f t="shared" ca="1" si="239"/>
        <v>0</v>
      </c>
      <c r="X125" s="33">
        <f t="shared" ca="1" si="239"/>
        <v>0</v>
      </c>
      <c r="Y125" s="33">
        <f t="shared" ca="1" si="239"/>
        <v>0</v>
      </c>
      <c r="Z125" s="33">
        <f t="shared" ca="1" si="239"/>
        <v>0</v>
      </c>
      <c r="AA125" s="33">
        <f t="shared" ca="1" si="239"/>
        <v>0</v>
      </c>
      <c r="AB125" s="33">
        <f t="shared" ca="1" si="239"/>
        <v>0</v>
      </c>
      <c r="AC125" s="33">
        <f t="shared" ca="1" si="239"/>
        <v>0</v>
      </c>
      <c r="AD125" s="33">
        <f t="shared" ca="1" si="239"/>
        <v>0</v>
      </c>
      <c r="AE125" s="33">
        <f t="shared" ca="1" si="239"/>
        <v>0</v>
      </c>
      <c r="AF125" s="33">
        <f t="shared" ca="1" si="239"/>
        <v>0</v>
      </c>
      <c r="AG125" s="33">
        <f t="shared" ca="1" si="239"/>
        <v>0</v>
      </c>
      <c r="AH125" s="33">
        <f t="shared" ca="1" si="239"/>
        <v>0</v>
      </c>
      <c r="AI125" s="33">
        <f t="shared" ref="AI125:AJ125" ca="1" si="240">MAX(-AI123-AI124,-AI117-AI95)</f>
        <v>0</v>
      </c>
      <c r="AJ125" s="33">
        <f t="shared" ca="1" si="240"/>
        <v>0</v>
      </c>
      <c r="AK125" s="689"/>
      <c r="AL125" s="689"/>
      <c r="AM125" s="689"/>
      <c r="AN125" s="689"/>
      <c r="AO125" s="689"/>
      <c r="AP125" s="689"/>
      <c r="AQ125" s="689"/>
      <c r="AR125" s="689"/>
      <c r="AS125" s="689"/>
      <c r="AT125" s="689"/>
      <c r="AU125" s="689"/>
      <c r="AV125" s="689"/>
      <c r="AW125" s="689"/>
      <c r="AX125" s="689"/>
      <c r="AY125" s="689"/>
      <c r="AZ125" s="689"/>
      <c r="BA125" s="689"/>
      <c r="BB125" s="689"/>
      <c r="BC125" s="689"/>
      <c r="BD125" s="689"/>
      <c r="BE125" s="689"/>
      <c r="BF125" s="689"/>
      <c r="BG125" s="689"/>
      <c r="BH125" s="689"/>
      <c r="BI125" s="689"/>
      <c r="BJ125" s="689"/>
      <c r="BK125" s="689"/>
      <c r="BL125" s="689"/>
      <c r="BM125" s="689"/>
      <c r="BN125" s="689"/>
      <c r="BO125" s="689"/>
      <c r="BP125" s="689"/>
      <c r="BQ125" s="689"/>
      <c r="BR125" s="689"/>
      <c r="BS125" s="689"/>
      <c r="BT125" s="689"/>
      <c r="BU125" s="689"/>
      <c r="BV125" s="689"/>
      <c r="BW125" s="689"/>
      <c r="BX125" s="689"/>
      <c r="BY125" s="689"/>
      <c r="BZ125" s="689"/>
    </row>
    <row r="126" spans="3:78" x14ac:dyDescent="0.15">
      <c r="C126" s="23" t="s">
        <v>210</v>
      </c>
      <c r="D126" s="633"/>
      <c r="E126" s="33"/>
      <c r="F126" s="779">
        <f t="shared" ref="F126:AH126" ca="1" si="241">F123+F124+F125</f>
        <v>4094847.0045887432</v>
      </c>
      <c r="G126" s="779">
        <f t="shared" ca="1" si="241"/>
        <v>4179373.6988069233</v>
      </c>
      <c r="H126" s="779">
        <f t="shared" ca="1" si="241"/>
        <v>4142687.3115760125</v>
      </c>
      <c r="I126" s="779">
        <f t="shared" ca="1" si="241"/>
        <v>3972371.2995003564</v>
      </c>
      <c r="J126" s="779">
        <f t="shared" ca="1" si="241"/>
        <v>0</v>
      </c>
      <c r="K126" s="779">
        <f t="shared" ca="1" si="241"/>
        <v>0</v>
      </c>
      <c r="L126" s="779">
        <f t="shared" ca="1" si="241"/>
        <v>0</v>
      </c>
      <c r="M126" s="779">
        <f t="shared" ca="1" si="241"/>
        <v>0</v>
      </c>
      <c r="N126" s="779">
        <f t="shared" ca="1" si="241"/>
        <v>0</v>
      </c>
      <c r="O126" s="779">
        <f t="shared" ca="1" si="241"/>
        <v>0</v>
      </c>
      <c r="P126" s="779">
        <f t="shared" ca="1" si="241"/>
        <v>0</v>
      </c>
      <c r="Q126" s="779">
        <f t="shared" ca="1" si="241"/>
        <v>0</v>
      </c>
      <c r="R126" s="779">
        <f t="shared" ca="1" si="241"/>
        <v>0</v>
      </c>
      <c r="S126" s="779">
        <f t="shared" ca="1" si="241"/>
        <v>0</v>
      </c>
      <c r="T126" s="779">
        <f t="shared" ca="1" si="241"/>
        <v>0</v>
      </c>
      <c r="U126" s="779">
        <f t="shared" ca="1" si="241"/>
        <v>0</v>
      </c>
      <c r="V126" s="779">
        <f t="shared" ca="1" si="241"/>
        <v>0</v>
      </c>
      <c r="W126" s="779">
        <f t="shared" ca="1" si="241"/>
        <v>0</v>
      </c>
      <c r="X126" s="779">
        <f t="shared" ca="1" si="241"/>
        <v>0</v>
      </c>
      <c r="Y126" s="779">
        <f t="shared" ca="1" si="241"/>
        <v>0</v>
      </c>
      <c r="Z126" s="779">
        <f t="shared" ca="1" si="241"/>
        <v>0</v>
      </c>
      <c r="AA126" s="779">
        <f t="shared" ca="1" si="241"/>
        <v>0</v>
      </c>
      <c r="AB126" s="779">
        <f t="shared" ca="1" si="241"/>
        <v>0</v>
      </c>
      <c r="AC126" s="779">
        <f t="shared" ca="1" si="241"/>
        <v>0</v>
      </c>
      <c r="AD126" s="779">
        <f t="shared" ca="1" si="241"/>
        <v>0</v>
      </c>
      <c r="AE126" s="779">
        <f t="shared" ca="1" si="241"/>
        <v>0</v>
      </c>
      <c r="AF126" s="779">
        <f t="shared" ca="1" si="241"/>
        <v>0</v>
      </c>
      <c r="AG126" s="779">
        <f t="shared" ca="1" si="241"/>
        <v>0</v>
      </c>
      <c r="AH126" s="779">
        <f t="shared" ca="1" si="241"/>
        <v>0</v>
      </c>
      <c r="AI126" s="779">
        <f t="shared" ref="AI126:AJ126" ca="1" si="242">AI123+AI124+AI125</f>
        <v>0</v>
      </c>
      <c r="AJ126" s="779">
        <f t="shared" ca="1" si="242"/>
        <v>0</v>
      </c>
      <c r="AK126" s="689"/>
      <c r="AL126" s="689"/>
      <c r="AM126" s="689"/>
      <c r="AN126" s="689"/>
      <c r="AO126" s="689"/>
      <c r="AP126" s="689"/>
      <c r="AQ126" s="689"/>
      <c r="AR126" s="689"/>
      <c r="AS126" s="689"/>
      <c r="AT126" s="689"/>
      <c r="AU126" s="689"/>
      <c r="AV126" s="689"/>
      <c r="AW126" s="689"/>
      <c r="AX126" s="689"/>
      <c r="AY126" s="689"/>
      <c r="AZ126" s="689"/>
      <c r="BA126" s="689"/>
      <c r="BB126" s="689"/>
      <c r="BC126" s="689"/>
      <c r="BD126" s="689"/>
      <c r="BE126" s="689"/>
      <c r="BF126" s="689"/>
      <c r="BG126" s="689"/>
      <c r="BH126" s="689"/>
      <c r="BI126" s="689"/>
      <c r="BJ126" s="689"/>
      <c r="BK126" s="689"/>
      <c r="BL126" s="689"/>
      <c r="BM126" s="689"/>
      <c r="BN126" s="689"/>
      <c r="BO126" s="689"/>
      <c r="BP126" s="689"/>
      <c r="BQ126" s="689"/>
      <c r="BR126" s="689"/>
      <c r="BS126" s="689"/>
      <c r="BT126" s="689"/>
      <c r="BU126" s="689"/>
      <c r="BV126" s="689"/>
      <c r="BW126" s="689"/>
      <c r="BX126" s="689"/>
      <c r="BY126" s="689"/>
      <c r="BZ126" s="689"/>
    </row>
    <row r="127" spans="3:78" x14ac:dyDescent="0.15">
      <c r="C127" s="32" t="s">
        <v>230</v>
      </c>
      <c r="D127" s="633"/>
      <c r="E127" s="31"/>
      <c r="F127" s="33">
        <f t="shared" ref="F127:AH127" ca="1" si="243">F117+F125</f>
        <v>0</v>
      </c>
      <c r="G127" s="33">
        <f t="shared" ca="1" si="243"/>
        <v>0</v>
      </c>
      <c r="H127" s="33">
        <f t="shared" ca="1" si="243"/>
        <v>0</v>
      </c>
      <c r="I127" s="33">
        <f t="shared" ca="1" si="243"/>
        <v>0</v>
      </c>
      <c r="J127" s="33">
        <f t="shared" ca="1" si="243"/>
        <v>1418641.3543268833</v>
      </c>
      <c r="K127" s="33">
        <f t="shared" ca="1" si="243"/>
        <v>137895.57662283455</v>
      </c>
      <c r="L127" s="33">
        <f t="shared" ca="1" si="243"/>
        <v>169772.94098285027</v>
      </c>
      <c r="M127" s="33">
        <f t="shared" ca="1" si="243"/>
        <v>203017.52645099408</v>
      </c>
      <c r="N127" s="33">
        <f t="shared" ca="1" si="243"/>
        <v>237685.86440226634</v>
      </c>
      <c r="O127" s="33">
        <f t="shared" ca="1" si="243"/>
        <v>273836.78431727935</v>
      </c>
      <c r="P127" s="33">
        <f t="shared" ca="1" si="243"/>
        <v>311531.50644349726</v>
      </c>
      <c r="Q127" s="33">
        <f t="shared" ca="1" si="243"/>
        <v>350833.73817766004</v>
      </c>
      <c r="R127" s="33">
        <f t="shared" ca="1" si="243"/>
        <v>391809.77431854373</v>
      </c>
      <c r="S127" s="33">
        <f t="shared" ca="1" si="243"/>
        <v>434528.60134516342</v>
      </c>
      <c r="T127" s="33">
        <f t="shared" ca="1" si="243"/>
        <v>479062.00588175119</v>
      </c>
      <c r="U127" s="33">
        <f t="shared" ca="1" si="243"/>
        <v>525484.6875172836</v>
      </c>
      <c r="V127" s="33">
        <f t="shared" ca="1" si="243"/>
        <v>573874.37615406828</v>
      </c>
      <c r="W127" s="33">
        <f t="shared" ca="1" si="243"/>
        <v>624311.95406687178</v>
      </c>
      <c r="X127" s="33">
        <f t="shared" ca="1" si="243"/>
        <v>676881.58286134654</v>
      </c>
      <c r="Y127" s="33">
        <f t="shared" ca="1" si="243"/>
        <v>731670.83552806161</v>
      </c>
      <c r="Z127" s="33">
        <f t="shared" ca="1" si="243"/>
        <v>788770.83379631524</v>
      </c>
      <c r="AA127" s="33">
        <f t="shared" ca="1" si="243"/>
        <v>848276.39100006816</v>
      </c>
      <c r="AB127" s="33">
        <f t="shared" ca="1" si="243"/>
        <v>910286.16067683499</v>
      </c>
      <c r="AC127" s="33">
        <f t="shared" ca="1" si="243"/>
        <v>974902.7911292332</v>
      </c>
      <c r="AD127" s="33">
        <f t="shared" ca="1" si="243"/>
        <v>1042233.0861880592</v>
      </c>
      <c r="AE127" s="33">
        <f t="shared" ca="1" si="243"/>
        <v>1112388.1724253376</v>
      </c>
      <c r="AF127" s="33">
        <f t="shared" ca="1" si="243"/>
        <v>1185483.6730757277</v>
      </c>
      <c r="AG127" s="33">
        <f t="shared" ca="1" si="243"/>
        <v>1261639.8889350262</v>
      </c>
      <c r="AH127" s="33">
        <f t="shared" ca="1" si="243"/>
        <v>1340981.9865152473</v>
      </c>
      <c r="AI127" s="33">
        <f t="shared" ref="AI127:AJ127" ca="1" si="244">AI117+AI125</f>
        <v>1423640.1937469612</v>
      </c>
      <c r="AJ127" s="33">
        <f t="shared" ca="1" si="244"/>
        <v>36630359.606750749</v>
      </c>
      <c r="AK127" s="689"/>
      <c r="AL127" s="689"/>
      <c r="AM127" s="689"/>
      <c r="AN127" s="689"/>
      <c r="AO127" s="689"/>
      <c r="AP127" s="689"/>
      <c r="AQ127" s="689"/>
      <c r="AR127" s="689"/>
      <c r="AS127" s="689"/>
      <c r="AT127" s="689"/>
      <c r="AU127" s="689"/>
      <c r="AV127" s="689"/>
      <c r="AW127" s="689"/>
      <c r="AX127" s="689"/>
      <c r="AY127" s="689"/>
      <c r="AZ127" s="689"/>
      <c r="BA127" s="689"/>
      <c r="BB127" s="689"/>
      <c r="BC127" s="689"/>
      <c r="BD127" s="689"/>
      <c r="BE127" s="689"/>
      <c r="BF127" s="689"/>
      <c r="BG127" s="689"/>
      <c r="BH127" s="689"/>
      <c r="BI127" s="689"/>
      <c r="BJ127" s="689"/>
      <c r="BK127" s="689"/>
      <c r="BL127" s="689"/>
      <c r="BM127" s="689"/>
      <c r="BN127" s="689"/>
      <c r="BO127" s="689"/>
      <c r="BP127" s="689"/>
      <c r="BQ127" s="689"/>
      <c r="BR127" s="689"/>
      <c r="BS127" s="689"/>
      <c r="BT127" s="689"/>
      <c r="BU127" s="689"/>
      <c r="BV127" s="689"/>
      <c r="BW127" s="689"/>
      <c r="BX127" s="689"/>
      <c r="BY127" s="689"/>
      <c r="BZ127" s="689"/>
    </row>
    <row r="128" spans="3:78" x14ac:dyDescent="0.15">
      <c r="C128" s="41" t="s">
        <v>231</v>
      </c>
      <c r="D128" s="6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689"/>
      <c r="AL128" s="689"/>
      <c r="AM128" s="689"/>
      <c r="AN128" s="689"/>
      <c r="AO128" s="689"/>
      <c r="AP128" s="689"/>
      <c r="AQ128" s="689"/>
      <c r="AR128" s="689"/>
      <c r="AS128" s="689"/>
      <c r="AT128" s="689"/>
      <c r="AU128" s="689"/>
      <c r="AV128" s="689"/>
      <c r="AW128" s="689"/>
      <c r="AX128" s="689"/>
      <c r="AY128" s="689"/>
      <c r="AZ128" s="689"/>
      <c r="BA128" s="689"/>
      <c r="BB128" s="689"/>
      <c r="BC128" s="689"/>
      <c r="BD128" s="689"/>
      <c r="BE128" s="689"/>
      <c r="BF128" s="689"/>
      <c r="BG128" s="689"/>
      <c r="BH128" s="689"/>
      <c r="BI128" s="689"/>
      <c r="BJ128" s="689"/>
      <c r="BK128" s="689"/>
      <c r="BL128" s="689"/>
      <c r="BM128" s="689"/>
      <c r="BN128" s="689"/>
      <c r="BO128" s="689"/>
      <c r="BP128" s="689"/>
      <c r="BQ128" s="689"/>
      <c r="BR128" s="689"/>
      <c r="BS128" s="689"/>
      <c r="BT128" s="689"/>
      <c r="BU128" s="689"/>
      <c r="BV128" s="689"/>
      <c r="BW128" s="689"/>
      <c r="BX128" s="689"/>
      <c r="BY128" s="689"/>
      <c r="BZ128" s="689"/>
    </row>
    <row r="129" spans="2:78" x14ac:dyDescent="0.15">
      <c r="C129" s="695" t="s">
        <v>232</v>
      </c>
      <c r="D129" s="633"/>
      <c r="E129" s="33"/>
      <c r="F129" s="33">
        <f t="shared" ref="F129:AH129" ca="1" si="245">F127*$K$22</f>
        <v>0</v>
      </c>
      <c r="G129" s="33">
        <f t="shared" ca="1" si="245"/>
        <v>0</v>
      </c>
      <c r="H129" s="33">
        <f t="shared" ca="1" si="245"/>
        <v>0</v>
      </c>
      <c r="I129" s="33">
        <f t="shared" ca="1" si="245"/>
        <v>0</v>
      </c>
      <c r="J129" s="33">
        <f t="shared" ca="1" si="245"/>
        <v>709320.67716344167</v>
      </c>
      <c r="K129" s="33">
        <f t="shared" ca="1" si="245"/>
        <v>68947.788311417273</v>
      </c>
      <c r="L129" s="33">
        <f t="shared" ca="1" si="245"/>
        <v>84886.470491425134</v>
      </c>
      <c r="M129" s="33">
        <f t="shared" ca="1" si="245"/>
        <v>101508.76322549704</v>
      </c>
      <c r="N129" s="33">
        <f t="shared" ca="1" si="245"/>
        <v>118842.93220113317</v>
      </c>
      <c r="O129" s="33">
        <f t="shared" ca="1" si="245"/>
        <v>136918.39215863968</v>
      </c>
      <c r="P129" s="33">
        <f t="shared" ca="1" si="245"/>
        <v>155765.75322174863</v>
      </c>
      <c r="Q129" s="33">
        <f t="shared" ca="1" si="245"/>
        <v>175416.86908883002</v>
      </c>
      <c r="R129" s="33">
        <f t="shared" ca="1" si="245"/>
        <v>195904.88715927186</v>
      </c>
      <c r="S129" s="33">
        <f t="shared" ca="1" si="245"/>
        <v>217264.30067258171</v>
      </c>
      <c r="T129" s="33">
        <f t="shared" ca="1" si="245"/>
        <v>239531.00294087559</v>
      </c>
      <c r="U129" s="33">
        <f t="shared" ca="1" si="245"/>
        <v>262742.3437586418</v>
      </c>
      <c r="V129" s="33">
        <f t="shared" ca="1" si="245"/>
        <v>286937.18807703414</v>
      </c>
      <c r="W129" s="33">
        <f t="shared" ca="1" si="245"/>
        <v>312155.97703343589</v>
      </c>
      <c r="X129" s="33">
        <f t="shared" ca="1" si="245"/>
        <v>338440.79143067327</v>
      </c>
      <c r="Y129" s="33">
        <f t="shared" ca="1" si="245"/>
        <v>365835.4177640308</v>
      </c>
      <c r="Z129" s="33">
        <f t="shared" ca="1" si="245"/>
        <v>394385.41689815762</v>
      </c>
      <c r="AA129" s="33">
        <f t="shared" ca="1" si="245"/>
        <v>424138.19550003408</v>
      </c>
      <c r="AB129" s="33">
        <f t="shared" ca="1" si="245"/>
        <v>455143.08033841749</v>
      </c>
      <c r="AC129" s="33">
        <f t="shared" ca="1" si="245"/>
        <v>487451.3955646166</v>
      </c>
      <c r="AD129" s="33">
        <f t="shared" ca="1" si="245"/>
        <v>521116.54309402959</v>
      </c>
      <c r="AE129" s="33">
        <f t="shared" ca="1" si="245"/>
        <v>556194.0862126688</v>
      </c>
      <c r="AF129" s="33">
        <f t="shared" ca="1" si="245"/>
        <v>592741.83653786383</v>
      </c>
      <c r="AG129" s="33">
        <f t="shared" ca="1" si="245"/>
        <v>630819.94446751312</v>
      </c>
      <c r="AH129" s="33">
        <f t="shared" ca="1" si="245"/>
        <v>670490.99325762363</v>
      </c>
      <c r="AI129" s="33">
        <f t="shared" ref="AI129:AJ129" ca="1" si="246">AI127*$K$22</f>
        <v>711820.09687348059</v>
      </c>
      <c r="AJ129" s="33">
        <f t="shared" ca="1" si="246"/>
        <v>18315179.803375375</v>
      </c>
      <c r="AK129" s="689"/>
      <c r="AL129" s="689"/>
      <c r="AM129" s="689"/>
      <c r="AN129" s="689"/>
      <c r="AO129" s="689"/>
      <c r="AP129" s="689"/>
      <c r="AQ129" s="689"/>
      <c r="AR129" s="689"/>
      <c r="AS129" s="689"/>
      <c r="AT129" s="689"/>
      <c r="AU129" s="689"/>
      <c r="AV129" s="689"/>
      <c r="AW129" s="689"/>
      <c r="AX129" s="689"/>
      <c r="AY129" s="689"/>
      <c r="AZ129" s="689"/>
      <c r="BA129" s="689"/>
      <c r="BB129" s="689"/>
      <c r="BC129" s="689"/>
      <c r="BD129" s="689"/>
      <c r="BE129" s="689"/>
      <c r="BF129" s="689"/>
      <c r="BG129" s="689"/>
      <c r="BH129" s="689"/>
      <c r="BI129" s="689"/>
      <c r="BJ129" s="689"/>
      <c r="BK129" s="689"/>
      <c r="BL129" s="689"/>
      <c r="BM129" s="689"/>
      <c r="BN129" s="689"/>
      <c r="BO129" s="689"/>
      <c r="BP129" s="689"/>
      <c r="BQ129" s="689"/>
      <c r="BR129" s="689"/>
      <c r="BS129" s="689"/>
      <c r="BT129" s="689"/>
      <c r="BU129" s="689"/>
      <c r="BV129" s="689"/>
      <c r="BW129" s="689"/>
      <c r="BX129" s="689"/>
      <c r="BY129" s="689"/>
      <c r="BZ129" s="689"/>
    </row>
    <row r="130" spans="2:78" x14ac:dyDescent="0.15">
      <c r="C130" s="695" t="s">
        <v>233</v>
      </c>
      <c r="D130" s="633"/>
      <c r="E130" s="33"/>
      <c r="F130" s="33">
        <f t="shared" ref="F130:AH130" ca="1" si="247">F127*$K$23</f>
        <v>0</v>
      </c>
      <c r="G130" s="33">
        <f t="shared" ca="1" si="247"/>
        <v>0</v>
      </c>
      <c r="H130" s="33">
        <f t="shared" ca="1" si="247"/>
        <v>0</v>
      </c>
      <c r="I130" s="33">
        <f t="shared" ca="1" si="247"/>
        <v>0</v>
      </c>
      <c r="J130" s="33">
        <f t="shared" ca="1" si="247"/>
        <v>709320.67716344167</v>
      </c>
      <c r="K130" s="33">
        <f t="shared" ca="1" si="247"/>
        <v>68947.788311417273</v>
      </c>
      <c r="L130" s="33">
        <f t="shared" ca="1" si="247"/>
        <v>84886.470491425134</v>
      </c>
      <c r="M130" s="33">
        <f t="shared" ca="1" si="247"/>
        <v>101508.76322549704</v>
      </c>
      <c r="N130" s="33">
        <f t="shared" ca="1" si="247"/>
        <v>118842.93220113317</v>
      </c>
      <c r="O130" s="33">
        <f t="shared" ca="1" si="247"/>
        <v>136918.39215863968</v>
      </c>
      <c r="P130" s="33">
        <f t="shared" ca="1" si="247"/>
        <v>155765.75322174863</v>
      </c>
      <c r="Q130" s="33">
        <f t="shared" ca="1" si="247"/>
        <v>175416.86908883002</v>
      </c>
      <c r="R130" s="33">
        <f t="shared" ca="1" si="247"/>
        <v>195904.88715927186</v>
      </c>
      <c r="S130" s="33">
        <f t="shared" ca="1" si="247"/>
        <v>217264.30067258171</v>
      </c>
      <c r="T130" s="33">
        <f t="shared" ca="1" si="247"/>
        <v>239531.00294087559</v>
      </c>
      <c r="U130" s="33">
        <f t="shared" ca="1" si="247"/>
        <v>262742.3437586418</v>
      </c>
      <c r="V130" s="33">
        <f t="shared" ca="1" si="247"/>
        <v>286937.18807703414</v>
      </c>
      <c r="W130" s="33">
        <f t="shared" ca="1" si="247"/>
        <v>312155.97703343589</v>
      </c>
      <c r="X130" s="33">
        <f t="shared" ca="1" si="247"/>
        <v>338440.79143067327</v>
      </c>
      <c r="Y130" s="33">
        <f t="shared" ca="1" si="247"/>
        <v>365835.4177640308</v>
      </c>
      <c r="Z130" s="33">
        <f t="shared" ca="1" si="247"/>
        <v>394385.41689815762</v>
      </c>
      <c r="AA130" s="33">
        <f t="shared" ca="1" si="247"/>
        <v>424138.19550003408</v>
      </c>
      <c r="AB130" s="33">
        <f t="shared" ca="1" si="247"/>
        <v>455143.08033841749</v>
      </c>
      <c r="AC130" s="33">
        <f t="shared" ca="1" si="247"/>
        <v>487451.3955646166</v>
      </c>
      <c r="AD130" s="33">
        <f t="shared" ca="1" si="247"/>
        <v>521116.54309402959</v>
      </c>
      <c r="AE130" s="33">
        <f t="shared" ca="1" si="247"/>
        <v>556194.0862126688</v>
      </c>
      <c r="AF130" s="33">
        <f t="shared" ca="1" si="247"/>
        <v>592741.83653786383</v>
      </c>
      <c r="AG130" s="33">
        <f t="shared" ca="1" si="247"/>
        <v>630819.94446751312</v>
      </c>
      <c r="AH130" s="33">
        <f t="shared" ca="1" si="247"/>
        <v>670490.99325762363</v>
      </c>
      <c r="AI130" s="33">
        <f t="shared" ref="AI130:AJ130" ca="1" si="248">AI127*$K$23</f>
        <v>711820.09687348059</v>
      </c>
      <c r="AJ130" s="33">
        <f t="shared" ca="1" si="248"/>
        <v>18315179.803375375</v>
      </c>
      <c r="AK130" s="689"/>
      <c r="AL130" s="689"/>
      <c r="AM130" s="689"/>
      <c r="AN130" s="689"/>
      <c r="AO130" s="689"/>
      <c r="AP130" s="689"/>
      <c r="AQ130" s="689"/>
      <c r="AR130" s="689"/>
      <c r="AS130" s="689"/>
      <c r="AT130" s="689"/>
      <c r="AU130" s="689"/>
      <c r="AV130" s="689"/>
      <c r="AW130" s="689"/>
      <c r="AX130" s="689"/>
      <c r="AY130" s="689"/>
      <c r="AZ130" s="689"/>
      <c r="BA130" s="689"/>
      <c r="BB130" s="689"/>
      <c r="BC130" s="689"/>
      <c r="BD130" s="689"/>
      <c r="BE130" s="689"/>
      <c r="BF130" s="689"/>
      <c r="BG130" s="689"/>
      <c r="BH130" s="689"/>
      <c r="BI130" s="689"/>
      <c r="BJ130" s="689"/>
      <c r="BK130" s="689"/>
      <c r="BL130" s="689"/>
      <c r="BM130" s="689"/>
      <c r="BN130" s="689"/>
      <c r="BO130" s="689"/>
      <c r="BP130" s="689"/>
      <c r="BQ130" s="689"/>
      <c r="BR130" s="689"/>
      <c r="BS130" s="689"/>
      <c r="BT130" s="689"/>
      <c r="BU130" s="689"/>
      <c r="BV130" s="689"/>
      <c r="BW130" s="689"/>
      <c r="BX130" s="689"/>
      <c r="BY130" s="689"/>
      <c r="BZ130" s="689"/>
    </row>
    <row r="131" spans="2:78" x14ac:dyDescent="0.15">
      <c r="C131" s="41" t="s">
        <v>48</v>
      </c>
      <c r="D131" s="633"/>
      <c r="E131"/>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689"/>
      <c r="AL131" s="689"/>
      <c r="AM131" s="689"/>
      <c r="AN131" s="689"/>
      <c r="AO131" s="689"/>
      <c r="AP131" s="689"/>
      <c r="AQ131" s="689"/>
      <c r="AR131" s="689"/>
      <c r="AS131" s="689"/>
      <c r="AT131" s="689"/>
      <c r="AU131" s="689"/>
      <c r="AV131" s="689"/>
      <c r="AW131" s="689"/>
      <c r="AX131" s="689"/>
      <c r="AY131" s="689"/>
      <c r="AZ131" s="689"/>
      <c r="BA131" s="689"/>
      <c r="BB131" s="689"/>
      <c r="BC131" s="689"/>
      <c r="BD131" s="689"/>
      <c r="BE131" s="689"/>
      <c r="BF131" s="689"/>
      <c r="BG131" s="689"/>
      <c r="BH131" s="689"/>
      <c r="BI131" s="689"/>
      <c r="BJ131" s="689"/>
      <c r="BK131" s="689"/>
      <c r="BL131" s="689"/>
      <c r="BM131" s="689"/>
      <c r="BN131" s="689"/>
      <c r="BO131" s="689"/>
      <c r="BP131" s="689"/>
      <c r="BQ131" s="689"/>
      <c r="BR131" s="689"/>
      <c r="BS131" s="689"/>
      <c r="BT131" s="689"/>
      <c r="BU131" s="689"/>
      <c r="BV131" s="689"/>
      <c r="BW131" s="689"/>
      <c r="BX131" s="689"/>
      <c r="BY131" s="689"/>
      <c r="BZ131" s="689"/>
    </row>
    <row r="132" spans="2:78" x14ac:dyDescent="0.15">
      <c r="C132" s="695" t="s">
        <v>232</v>
      </c>
      <c r="D132" s="696">
        <f ca="1">SUM(E132:AJ132)</f>
        <v>28544864.903142057</v>
      </c>
      <c r="E132" s="39">
        <f>E117</f>
        <v>-3909999.8119999999</v>
      </c>
      <c r="F132" s="33">
        <f t="shared" ref="F132:AH132" ca="1" si="249">-F125+F129</f>
        <v>10652.798011256869</v>
      </c>
      <c r="G132" s="33">
        <f t="shared" ca="1" si="249"/>
        <v>120215.65601125683</v>
      </c>
      <c r="H132" s="33">
        <f t="shared" ca="1" si="249"/>
        <v>245655.07217125685</v>
      </c>
      <c r="I132" s="33">
        <f t="shared" ca="1" si="249"/>
        <v>377450.37765445677</v>
      </c>
      <c r="J132" s="33">
        <f t="shared" ca="1" si="249"/>
        <v>4880310.5416388158</v>
      </c>
      <c r="K132" s="33">
        <f t="shared" ca="1" si="249"/>
        <v>68947.788311417273</v>
      </c>
      <c r="L132" s="33">
        <f t="shared" ca="1" si="249"/>
        <v>84886.470491425134</v>
      </c>
      <c r="M132" s="33">
        <f t="shared" ca="1" si="249"/>
        <v>101508.76322549704</v>
      </c>
      <c r="N132" s="33">
        <f t="shared" ca="1" si="249"/>
        <v>118842.93220113317</v>
      </c>
      <c r="O132" s="33">
        <f t="shared" ca="1" si="249"/>
        <v>136918.39215863968</v>
      </c>
      <c r="P132" s="33">
        <f t="shared" ca="1" si="249"/>
        <v>155765.75322174863</v>
      </c>
      <c r="Q132" s="33">
        <f t="shared" ca="1" si="249"/>
        <v>175416.86908883002</v>
      </c>
      <c r="R132" s="33">
        <f t="shared" ca="1" si="249"/>
        <v>195904.88715927186</v>
      </c>
      <c r="S132" s="33">
        <f t="shared" ca="1" si="249"/>
        <v>217264.30067258171</v>
      </c>
      <c r="T132" s="33">
        <f t="shared" ca="1" si="249"/>
        <v>239531.00294087559</v>
      </c>
      <c r="U132" s="33">
        <f t="shared" ca="1" si="249"/>
        <v>262742.3437586418</v>
      </c>
      <c r="V132" s="33">
        <f t="shared" ca="1" si="249"/>
        <v>286937.18807703414</v>
      </c>
      <c r="W132" s="33">
        <f t="shared" ca="1" si="249"/>
        <v>312155.97703343589</v>
      </c>
      <c r="X132" s="33">
        <f t="shared" ca="1" si="249"/>
        <v>338440.79143067327</v>
      </c>
      <c r="Y132" s="33">
        <f t="shared" ca="1" si="249"/>
        <v>365835.4177640308</v>
      </c>
      <c r="Z132" s="33">
        <f t="shared" ca="1" si="249"/>
        <v>394385.41689815762</v>
      </c>
      <c r="AA132" s="33">
        <f t="shared" ca="1" si="249"/>
        <v>424138.19550003408</v>
      </c>
      <c r="AB132" s="33">
        <f t="shared" ca="1" si="249"/>
        <v>455143.08033841749</v>
      </c>
      <c r="AC132" s="33">
        <f t="shared" ca="1" si="249"/>
        <v>487451.3955646166</v>
      </c>
      <c r="AD132" s="33">
        <f t="shared" ca="1" si="249"/>
        <v>521116.54309402959</v>
      </c>
      <c r="AE132" s="33">
        <f t="shared" ca="1" si="249"/>
        <v>556194.0862126688</v>
      </c>
      <c r="AF132" s="33">
        <f t="shared" ca="1" si="249"/>
        <v>592741.83653786383</v>
      </c>
      <c r="AG132" s="33">
        <f t="shared" ca="1" si="249"/>
        <v>630819.94446751312</v>
      </c>
      <c r="AH132" s="33">
        <f t="shared" ca="1" si="249"/>
        <v>670490.99325762363</v>
      </c>
      <c r="AI132" s="33">
        <f t="shared" ref="AI132:AJ132" ca="1" si="250">-AI125+AI129</f>
        <v>711820.09687348059</v>
      </c>
      <c r="AJ132" s="33">
        <f t="shared" ca="1" si="250"/>
        <v>18315179.803375375</v>
      </c>
      <c r="AK132" s="689"/>
      <c r="AL132" s="689"/>
      <c r="AM132" s="689"/>
      <c r="AN132" s="689"/>
      <c r="AO132" s="689"/>
      <c r="AP132" s="689"/>
      <c r="AQ132" s="689"/>
      <c r="AR132" s="689"/>
      <c r="AS132" s="689"/>
      <c r="AT132" s="689"/>
      <c r="AU132" s="689"/>
      <c r="AV132" s="689"/>
      <c r="AW132" s="689"/>
      <c r="AX132" s="689"/>
      <c r="AY132" s="689"/>
      <c r="AZ132" s="689"/>
      <c r="BA132" s="689"/>
      <c r="BB132" s="689"/>
      <c r="BC132" s="689"/>
      <c r="BD132" s="689"/>
      <c r="BE132" s="689"/>
      <c r="BF132" s="689"/>
      <c r="BG132" s="689"/>
      <c r="BH132" s="689"/>
      <c r="BI132" s="689"/>
      <c r="BJ132" s="689"/>
      <c r="BK132" s="689"/>
      <c r="BL132" s="689"/>
      <c r="BM132" s="689"/>
      <c r="BN132" s="689"/>
      <c r="BO132" s="689"/>
      <c r="BP132" s="689"/>
      <c r="BQ132" s="689"/>
      <c r="BR132" s="689"/>
      <c r="BS132" s="689"/>
      <c r="BT132" s="689"/>
      <c r="BU132" s="689"/>
      <c r="BV132" s="689"/>
      <c r="BW132" s="689"/>
      <c r="BX132" s="689"/>
      <c r="BY132" s="689"/>
      <c r="BZ132" s="689"/>
    </row>
    <row r="133" spans="2:78" x14ac:dyDescent="0.15">
      <c r="C133" s="695" t="s">
        <v>233</v>
      </c>
      <c r="D133" s="696">
        <f ca="1">SUM(E133:AJ133)</f>
        <v>27529900.946818456</v>
      </c>
      <c r="E133" s="39">
        <v>0</v>
      </c>
      <c r="F133" s="33">
        <f t="shared" ref="F133:AH133" ca="1" si="251">F130</f>
        <v>0</v>
      </c>
      <c r="G133" s="33">
        <f t="shared" ca="1" si="251"/>
        <v>0</v>
      </c>
      <c r="H133" s="33">
        <f t="shared" ca="1" si="251"/>
        <v>0</v>
      </c>
      <c r="I133" s="33">
        <f t="shared" ca="1" si="251"/>
        <v>0</v>
      </c>
      <c r="J133" s="33">
        <f t="shared" ca="1" si="251"/>
        <v>709320.67716344167</v>
      </c>
      <c r="K133" s="33">
        <f t="shared" ca="1" si="251"/>
        <v>68947.788311417273</v>
      </c>
      <c r="L133" s="33">
        <f t="shared" ca="1" si="251"/>
        <v>84886.470491425134</v>
      </c>
      <c r="M133" s="33">
        <f t="shared" ca="1" si="251"/>
        <v>101508.76322549704</v>
      </c>
      <c r="N133" s="33">
        <f t="shared" ca="1" si="251"/>
        <v>118842.93220113317</v>
      </c>
      <c r="O133" s="33">
        <f t="shared" ca="1" si="251"/>
        <v>136918.39215863968</v>
      </c>
      <c r="P133" s="33">
        <f t="shared" ca="1" si="251"/>
        <v>155765.75322174863</v>
      </c>
      <c r="Q133" s="33">
        <f t="shared" ca="1" si="251"/>
        <v>175416.86908883002</v>
      </c>
      <c r="R133" s="33">
        <f t="shared" ca="1" si="251"/>
        <v>195904.88715927186</v>
      </c>
      <c r="S133" s="33">
        <f t="shared" ca="1" si="251"/>
        <v>217264.30067258171</v>
      </c>
      <c r="T133" s="33">
        <f t="shared" ca="1" si="251"/>
        <v>239531.00294087559</v>
      </c>
      <c r="U133" s="33">
        <f t="shared" ca="1" si="251"/>
        <v>262742.3437586418</v>
      </c>
      <c r="V133" s="33">
        <f t="shared" ca="1" si="251"/>
        <v>286937.18807703414</v>
      </c>
      <c r="W133" s="33">
        <f t="shared" ca="1" si="251"/>
        <v>312155.97703343589</v>
      </c>
      <c r="X133" s="33">
        <f t="shared" ca="1" si="251"/>
        <v>338440.79143067327</v>
      </c>
      <c r="Y133" s="33">
        <f t="shared" ca="1" si="251"/>
        <v>365835.4177640308</v>
      </c>
      <c r="Z133" s="33">
        <f t="shared" ca="1" si="251"/>
        <v>394385.41689815762</v>
      </c>
      <c r="AA133" s="33">
        <f t="shared" ca="1" si="251"/>
        <v>424138.19550003408</v>
      </c>
      <c r="AB133" s="33">
        <f t="shared" ca="1" si="251"/>
        <v>455143.08033841749</v>
      </c>
      <c r="AC133" s="33">
        <f t="shared" ca="1" si="251"/>
        <v>487451.3955646166</v>
      </c>
      <c r="AD133" s="33">
        <f t="shared" ca="1" si="251"/>
        <v>521116.54309402959</v>
      </c>
      <c r="AE133" s="33">
        <f t="shared" ca="1" si="251"/>
        <v>556194.0862126688</v>
      </c>
      <c r="AF133" s="33">
        <f t="shared" ca="1" si="251"/>
        <v>592741.83653786383</v>
      </c>
      <c r="AG133" s="33">
        <f t="shared" ca="1" si="251"/>
        <v>630819.94446751312</v>
      </c>
      <c r="AH133" s="33">
        <f t="shared" ca="1" si="251"/>
        <v>670490.99325762363</v>
      </c>
      <c r="AI133" s="33">
        <f t="shared" ref="AI133:AJ133" ca="1" si="252">AI130</f>
        <v>711820.09687348059</v>
      </c>
      <c r="AJ133" s="33">
        <f t="shared" ca="1" si="252"/>
        <v>18315179.803375375</v>
      </c>
      <c r="AK133" s="689"/>
      <c r="AL133" s="689"/>
      <c r="AM133" s="689"/>
      <c r="AN133" s="689"/>
      <c r="AO133" s="689"/>
      <c r="AP133" s="689"/>
      <c r="AQ133" s="689"/>
      <c r="AR133" s="689"/>
      <c r="AS133" s="689"/>
      <c r="AT133" s="689"/>
      <c r="AU133" s="689"/>
      <c r="AV133" s="689"/>
      <c r="AW133" s="689"/>
      <c r="AX133" s="689"/>
      <c r="AY133" s="689"/>
      <c r="AZ133" s="689"/>
      <c r="BA133" s="689"/>
      <c r="BB133" s="689"/>
      <c r="BC133" s="689"/>
      <c r="BD133" s="689"/>
      <c r="BE133" s="689"/>
      <c r="BF133" s="689"/>
      <c r="BG133" s="689"/>
      <c r="BH133" s="689"/>
      <c r="BI133" s="689"/>
      <c r="BJ133" s="689"/>
      <c r="BK133" s="689"/>
      <c r="BL133" s="689"/>
      <c r="BM133" s="689"/>
      <c r="BN133" s="689"/>
      <c r="BO133" s="689"/>
      <c r="BP133" s="689"/>
      <c r="BQ133" s="689"/>
      <c r="BR133" s="689"/>
      <c r="BS133" s="689"/>
      <c r="BT133" s="689"/>
      <c r="BU133" s="689"/>
      <c r="BV133" s="689"/>
      <c r="BW133" s="689"/>
      <c r="BX133" s="689"/>
      <c r="BY133" s="689"/>
      <c r="BZ133" s="689"/>
    </row>
    <row r="134" spans="2:78" ht="14" x14ac:dyDescent="0.15">
      <c r="C134" s="131" t="s">
        <v>234</v>
      </c>
      <c r="D134" s="128"/>
      <c r="E134" s="130">
        <f t="shared" ref="E134:AH134" si="253">SUM(E132:E133)</f>
        <v>-3909999.8119999999</v>
      </c>
      <c r="F134" s="132">
        <f t="shared" ca="1" si="253"/>
        <v>10652.798011256869</v>
      </c>
      <c r="G134" s="132">
        <f t="shared" ca="1" si="253"/>
        <v>120215.65601125683</v>
      </c>
      <c r="H134" s="132">
        <f t="shared" ca="1" si="253"/>
        <v>245655.07217125685</v>
      </c>
      <c r="I134" s="132">
        <f t="shared" ca="1" si="253"/>
        <v>377450.37765445677</v>
      </c>
      <c r="J134" s="132">
        <f t="shared" ca="1" si="253"/>
        <v>5589631.2188022574</v>
      </c>
      <c r="K134" s="132">
        <f t="shared" ca="1" si="253"/>
        <v>137895.57662283455</v>
      </c>
      <c r="L134" s="132">
        <f t="shared" ca="1" si="253"/>
        <v>169772.94098285027</v>
      </c>
      <c r="M134" s="132">
        <f t="shared" ca="1" si="253"/>
        <v>203017.52645099408</v>
      </c>
      <c r="N134" s="132">
        <f t="shared" ca="1" si="253"/>
        <v>237685.86440226634</v>
      </c>
      <c r="O134" s="132">
        <f t="shared" ca="1" si="253"/>
        <v>273836.78431727935</v>
      </c>
      <c r="P134" s="132">
        <f t="shared" ca="1" si="253"/>
        <v>311531.50644349726</v>
      </c>
      <c r="Q134" s="132">
        <f t="shared" ca="1" si="253"/>
        <v>350833.73817766004</v>
      </c>
      <c r="R134" s="132">
        <f t="shared" ca="1" si="253"/>
        <v>391809.77431854373</v>
      </c>
      <c r="S134" s="132">
        <f t="shared" ca="1" si="253"/>
        <v>434528.60134516342</v>
      </c>
      <c r="T134" s="132">
        <f t="shared" ca="1" si="253"/>
        <v>479062.00588175119</v>
      </c>
      <c r="U134" s="132">
        <f t="shared" ca="1" si="253"/>
        <v>525484.6875172836</v>
      </c>
      <c r="V134" s="132">
        <f t="shared" ca="1" si="253"/>
        <v>573874.37615406828</v>
      </c>
      <c r="W134" s="132">
        <f t="shared" ca="1" si="253"/>
        <v>624311.95406687178</v>
      </c>
      <c r="X134" s="132">
        <f t="shared" ca="1" si="253"/>
        <v>676881.58286134654</v>
      </c>
      <c r="Y134" s="132">
        <f t="shared" ca="1" si="253"/>
        <v>731670.83552806161</v>
      </c>
      <c r="Z134" s="132">
        <f t="shared" ca="1" si="253"/>
        <v>788770.83379631524</v>
      </c>
      <c r="AA134" s="132">
        <f t="shared" ca="1" si="253"/>
        <v>848276.39100006816</v>
      </c>
      <c r="AB134" s="132">
        <f t="shared" ca="1" si="253"/>
        <v>910286.16067683499</v>
      </c>
      <c r="AC134" s="132">
        <f t="shared" ca="1" si="253"/>
        <v>974902.7911292332</v>
      </c>
      <c r="AD134" s="132">
        <f t="shared" ca="1" si="253"/>
        <v>1042233.0861880592</v>
      </c>
      <c r="AE134" s="132">
        <f t="shared" ca="1" si="253"/>
        <v>1112388.1724253376</v>
      </c>
      <c r="AF134" s="132">
        <f t="shared" ca="1" si="253"/>
        <v>1185483.6730757277</v>
      </c>
      <c r="AG134" s="132">
        <f t="shared" ca="1" si="253"/>
        <v>1261639.8889350262</v>
      </c>
      <c r="AH134" s="132">
        <f t="shared" ca="1" si="253"/>
        <v>1340981.9865152473</v>
      </c>
      <c r="AI134" s="132">
        <f t="shared" ref="AI134:AJ134" ca="1" si="254">SUM(AI132:AI133)</f>
        <v>1423640.1937469612</v>
      </c>
      <c r="AJ134" s="132">
        <f t="shared" ca="1" si="254"/>
        <v>36630359.606750749</v>
      </c>
      <c r="AK134" s="633"/>
      <c r="AL134" s="633"/>
      <c r="AM134" s="633"/>
      <c r="AN134" s="633"/>
      <c r="AO134" s="633"/>
      <c r="AP134" s="633"/>
      <c r="AQ134" s="633"/>
      <c r="AR134" s="633"/>
      <c r="AS134" s="633"/>
      <c r="AT134" s="633"/>
      <c r="AU134" s="633"/>
      <c r="AV134" s="633"/>
      <c r="AW134" s="633"/>
      <c r="AX134" s="633"/>
      <c r="AY134" s="633"/>
      <c r="AZ134" s="633"/>
      <c r="BA134" s="633"/>
      <c r="BB134" s="633"/>
      <c r="BC134" s="633"/>
      <c r="BD134" s="633"/>
      <c r="BE134" s="633"/>
      <c r="BF134" s="633"/>
      <c r="BG134" s="633"/>
      <c r="BH134" s="633"/>
      <c r="BI134" s="633"/>
      <c r="BJ134" s="633"/>
      <c r="BK134" s="633"/>
      <c r="BL134" s="633"/>
      <c r="BM134" s="633"/>
      <c r="BN134" s="633"/>
      <c r="BO134" s="633"/>
      <c r="BP134" s="633"/>
      <c r="BQ134" s="633"/>
      <c r="BR134" s="633"/>
      <c r="BS134" s="633"/>
      <c r="BT134" s="633"/>
      <c r="BU134" s="633"/>
      <c r="BV134" s="633"/>
      <c r="BW134" s="633"/>
      <c r="BX134" s="633"/>
      <c r="BY134" s="633"/>
      <c r="BZ134" s="633"/>
    </row>
    <row r="135" spans="2:78" s="311" customFormat="1" ht="12" x14ac:dyDescent="0.15">
      <c r="B135" s="495"/>
      <c r="C135" s="299"/>
      <c r="D135" s="308"/>
      <c r="E135" s="312" t="s">
        <v>235</v>
      </c>
      <c r="F135" s="309">
        <f t="shared" ref="F135:AH135" ca="1" si="255">F132/-$E$132</f>
        <v>2.7245009011414422E-3</v>
      </c>
      <c r="G135" s="309">
        <f t="shared" ca="1" si="255"/>
        <v>3.07456935527998E-2</v>
      </c>
      <c r="H135" s="309">
        <f t="shared" ca="1" si="255"/>
        <v>6.2827387207878685E-2</v>
      </c>
      <c r="I135" s="309">
        <f t="shared" ca="1" si="255"/>
        <v>9.6534628082600216E-2</v>
      </c>
      <c r="J135" s="309">
        <f t="shared" ca="1" si="255"/>
        <v>1.2481613238601392</v>
      </c>
      <c r="K135" s="309">
        <f t="shared" ca="1" si="255"/>
        <v>1.7633706298351422E-2</v>
      </c>
      <c r="L135" s="309">
        <f t="shared" ca="1" si="255"/>
        <v>2.1710095798701572E-2</v>
      </c>
      <c r="M135" s="309">
        <f t="shared" ca="1" si="255"/>
        <v>2.596132176629809E-2</v>
      </c>
      <c r="N135" s="309">
        <f t="shared" ca="1" si="255"/>
        <v>3.0394613277575568E-2</v>
      </c>
      <c r="O135" s="309">
        <f t="shared" ca="1" si="255"/>
        <v>3.5017493284380669E-2</v>
      </c>
      <c r="P135" s="309">
        <f t="shared" ca="1" si="255"/>
        <v>3.9837790463236121E-2</v>
      </c>
      <c r="Q135" s="309">
        <f t="shared" ca="1" si="255"/>
        <v>4.4863651540459466E-2</v>
      </c>
      <c r="R135" s="309">
        <f t="shared" ca="1" si="255"/>
        <v>5.0103554112209729E-2</v>
      </c>
      <c r="S135" s="309">
        <f t="shared" ca="1" si="255"/>
        <v>5.556631997929664E-2</v>
      </c>
      <c r="T135" s="309">
        <f t="shared" ca="1" si="255"/>
        <v>6.1261129017383086E-2</v>
      </c>
      <c r="U135" s="309">
        <f t="shared" ca="1" si="255"/>
        <v>6.7197533604035325E-2</v>
      </c>
      <c r="V135" s="309">
        <f t="shared" ca="1" si="255"/>
        <v>7.3385473624936873E-2</v>
      </c>
      <c r="W135" s="309">
        <f t="shared" ca="1" si="255"/>
        <v>7.983529208247335E-2</v>
      </c>
      <c r="X135" s="309">
        <f t="shared" ca="1" si="255"/>
        <v>8.6557751330826216E-2</v>
      </c>
      <c r="Y135" s="309">
        <f t="shared" ca="1" si="255"/>
        <v>9.3564049962678308E-2</v>
      </c>
      <c r="Z135" s="309">
        <f t="shared" ca="1" si="255"/>
        <v>0.10086584037364082</v>
      </c>
      <c r="AA135" s="309">
        <f t="shared" ca="1" si="255"/>
        <v>0.10847524703155513</v>
      </c>
      <c r="AB135" s="309">
        <f t="shared" ca="1" si="255"/>
        <v>0.11640488547890945</v>
      </c>
      <c r="AC135" s="309">
        <f t="shared" ca="1" si="255"/>
        <v>0.12466788209774385</v>
      </c>
      <c r="AD135" s="309">
        <f t="shared" ca="1" si="255"/>
        <v>0.13327789466758921</v>
      </c>
      <c r="AE135" s="309">
        <f t="shared" ca="1" si="255"/>
        <v>0.14224913374821124</v>
      </c>
      <c r="AF135" s="309">
        <f t="shared" ca="1" si="255"/>
        <v>0.15159638492020056</v>
      </c>
      <c r="AG135" s="309">
        <f t="shared" ca="1" si="255"/>
        <v>0.16133503191777471</v>
      </c>
      <c r="AH135" s="309">
        <f t="shared" ca="1" si="255"/>
        <v>0.17148108068953116</v>
      </c>
      <c r="AI135" s="309">
        <f t="shared" ref="AI135:AJ135" ca="1" si="256">AI132/-$E$132</f>
        <v>0.18205118442432308</v>
      </c>
      <c r="AJ135" s="309">
        <f t="shared" ca="1" si="256"/>
        <v>4.6841894332488465</v>
      </c>
      <c r="AK135" s="310"/>
      <c r="AL135" s="310"/>
      <c r="AM135" s="310"/>
      <c r="AN135" s="310"/>
      <c r="AO135" s="310"/>
      <c r="AP135" s="310"/>
      <c r="AQ135" s="310"/>
      <c r="AR135" s="310"/>
      <c r="AS135" s="310"/>
      <c r="AT135" s="310"/>
      <c r="AU135" s="310"/>
      <c r="AV135" s="310"/>
      <c r="AW135" s="310"/>
      <c r="AX135" s="310"/>
      <c r="AY135" s="310"/>
      <c r="AZ135" s="310"/>
      <c r="BA135" s="310"/>
      <c r="BB135" s="310"/>
      <c r="BC135" s="310"/>
      <c r="BD135" s="310"/>
      <c r="BE135" s="310"/>
      <c r="BF135" s="310"/>
      <c r="BG135" s="310"/>
      <c r="BH135" s="310"/>
      <c r="BI135" s="310"/>
      <c r="BJ135" s="310"/>
      <c r="BK135" s="310"/>
      <c r="BL135" s="310"/>
      <c r="BM135" s="310"/>
      <c r="BN135" s="310"/>
      <c r="BO135" s="310"/>
      <c r="BP135" s="310"/>
      <c r="BQ135" s="310"/>
      <c r="BR135" s="310"/>
      <c r="BS135" s="310"/>
      <c r="BT135" s="310"/>
      <c r="BU135" s="310"/>
      <c r="BV135" s="310"/>
      <c r="BW135" s="310"/>
      <c r="BX135" s="310"/>
      <c r="BY135" s="310"/>
      <c r="BZ135" s="310"/>
    </row>
    <row r="136" spans="2:78" x14ac:dyDescent="0.15">
      <c r="C136" s="11" t="s">
        <v>122</v>
      </c>
      <c r="D136" s="37">
        <f ca="1">IRR(E132:AJ132)</f>
        <v>0.14410642942455043</v>
      </c>
      <c r="E136" s="634"/>
      <c r="F136" s="689"/>
      <c r="G136" s="293" t="str">
        <f ca="1">"Cumm.= "&amp;TEXT((SUM($F135:G135)),"0.0%")</f>
        <v>Cumm.= 3.3%</v>
      </c>
      <c r="H136" s="293" t="str">
        <f ca="1">"Cumm.= "&amp;TEXT((SUM($F135:H135)),"0.0%")</f>
        <v>Cumm.= 9.6%</v>
      </c>
      <c r="I136" s="293" t="str">
        <f ca="1">"Cumm.= "&amp;TEXT((SUM($F135:I135)),"0.0%")</f>
        <v>Cumm.= 19.3%</v>
      </c>
      <c r="J136" s="293" t="str">
        <f ca="1">"Cumm.= "&amp;TEXT((SUM($F135:J135)),"0.0%")</f>
        <v>Cumm.= 144.1%</v>
      </c>
      <c r="K136" s="293" t="str">
        <f ca="1">"Cumm.= "&amp;TEXT((SUM($F135:K135)),"0.0%")</f>
        <v>Cumm.= 145.9%</v>
      </c>
      <c r="L136" s="293" t="str">
        <f ca="1">"Cumm.= "&amp;TEXT((SUM($F135:L135)),"0.0%")</f>
        <v>Cumm.= 148.0%</v>
      </c>
      <c r="M136" s="293" t="str">
        <f ca="1">"Cumm.= "&amp;TEXT((SUM($F135:M135)),"0.0%")</f>
        <v>Cumm.= 150.6%</v>
      </c>
      <c r="N136" s="293" t="str">
        <f ca="1">"Cumm.= "&amp;TEXT((SUM($F135:N135)),"0.0%")</f>
        <v>Cumm.= 153.7%</v>
      </c>
      <c r="O136" s="293" t="str">
        <f ca="1">"Cumm.= "&amp;TEXT((SUM($F135:O135)),"0.0%")</f>
        <v>Cumm.= 157.2%</v>
      </c>
      <c r="P136" s="293" t="str">
        <f ca="1">"Cumm.= "&amp;TEXT((SUM($F135:P135)),"0.0%")</f>
        <v>Cumm.= 161.2%</v>
      </c>
      <c r="Q136" s="293" t="str">
        <f ca="1">"Cumm.= "&amp;TEXT((SUM($F135:Q135)),"0.0%")</f>
        <v>Cumm.= 165.6%</v>
      </c>
      <c r="R136" s="293" t="str">
        <f ca="1">"Cumm.= "&amp;TEXT((SUM($F135:R135)),"0.0%")</f>
        <v>Cumm.= 170.7%</v>
      </c>
      <c r="S136" s="293" t="str">
        <f ca="1">"Cumm.= "&amp;TEXT((SUM($F135:S135)),"0.0%")</f>
        <v>Cumm.= 176.2%</v>
      </c>
      <c r="T136" s="293" t="str">
        <f ca="1">"Cumm.= "&amp;TEXT((SUM($F135:T135)),"0.0%")</f>
        <v>Cumm.= 182.3%</v>
      </c>
      <c r="U136" s="293" t="str">
        <f ca="1">"Cumm.= "&amp;TEXT((SUM($F135:U135)),"0.0%")</f>
        <v>Cumm.= 189.1%</v>
      </c>
      <c r="V136" s="293" t="str">
        <f ca="1">"Cumm.= "&amp;TEXT((SUM($F135:V135)),"0.0%")</f>
        <v>Cumm.= 196.4%</v>
      </c>
      <c r="W136" s="293" t="str">
        <f ca="1">"Cumm.= "&amp;TEXT((SUM($F135:W135)),"0.0%")</f>
        <v>Cumm.= 204.4%</v>
      </c>
      <c r="X136" s="293" t="str">
        <f ca="1">"Cumm.= "&amp;TEXT((SUM($F135:X135)),"0.0%")</f>
        <v>Cumm.= 213.0%</v>
      </c>
      <c r="Y136" s="293" t="str">
        <f ca="1">"Cumm.= "&amp;TEXT((SUM($F135:Y135)),"0.0%")</f>
        <v>Cumm.= 222.4%</v>
      </c>
      <c r="Z136" s="293" t="str">
        <f ca="1">"Cumm.= "&amp;TEXT((SUM($F135:Z135)),"0.0%")</f>
        <v>Cumm.= 232.5%</v>
      </c>
      <c r="AA136" s="293" t="str">
        <f ca="1">"Cumm.= "&amp;TEXT((SUM($F135:AA135)),"0.0%")</f>
        <v>Cumm.= 243.3%</v>
      </c>
      <c r="AB136" s="293" t="str">
        <f ca="1">"Cumm.= "&amp;TEXT((SUM($F135:AB135)),"0.0%")</f>
        <v>Cumm.= 255.0%</v>
      </c>
      <c r="AC136" s="293" t="str">
        <f ca="1">"Cumm.= "&amp;TEXT((SUM($F135:AC135)),"0.0%")</f>
        <v>Cumm.= 267.4%</v>
      </c>
      <c r="AD136" s="293" t="str">
        <f ca="1">"Cumm.= "&amp;TEXT((SUM($F135:AD135)),"0.0%")</f>
        <v>Cumm.= 280.8%</v>
      </c>
      <c r="AE136" s="293" t="str">
        <f ca="1">"Cumm.= "&amp;TEXT((SUM($F135:AE135)),"0.0%")</f>
        <v>Cumm.= 295.0%</v>
      </c>
      <c r="AF136" s="293" t="str">
        <f ca="1">"Cumm.= "&amp;TEXT((SUM($F135:AF135)),"0.0%")</f>
        <v>Cumm.= 310.1%</v>
      </c>
      <c r="AG136" s="293" t="str">
        <f ca="1">"Cumm.= "&amp;TEXT((SUM($F135:AG135)),"0.0%")</f>
        <v>Cumm.= 326.3%</v>
      </c>
      <c r="AH136" s="293" t="str">
        <f ca="1">"Cumm.= "&amp;TEXT((SUM($F135:AH135)),"0.0%")</f>
        <v>Cumm.= 343.4%</v>
      </c>
      <c r="AI136" s="293" t="str">
        <f ca="1">"Cumm.= "&amp;TEXT((SUM($F135:AI135)),"0.0%")</f>
        <v>Cumm.= 361.6%</v>
      </c>
      <c r="AJ136" s="293" t="str">
        <f ca="1">"Cumm.= "&amp;TEXT((SUM($F135:AJ135)),"0.0%")</f>
        <v>Cumm.= 830.0%</v>
      </c>
      <c r="AK136" s="689"/>
      <c r="AL136" s="689"/>
      <c r="AM136" s="689"/>
      <c r="AN136" s="689"/>
      <c r="AO136" s="689"/>
      <c r="AP136" s="689"/>
      <c r="AQ136" s="689"/>
      <c r="AR136" s="689"/>
      <c r="AS136" s="689"/>
      <c r="AT136" s="689"/>
      <c r="AU136" s="689"/>
      <c r="AV136" s="689"/>
      <c r="AW136" s="689"/>
      <c r="AX136" s="689"/>
      <c r="AY136" s="689"/>
      <c r="AZ136" s="689"/>
      <c r="BA136" s="689"/>
      <c r="BB136" s="689"/>
      <c r="BC136" s="689"/>
      <c r="BD136" s="689"/>
      <c r="BE136" s="689"/>
      <c r="BF136" s="689"/>
      <c r="BG136" s="689"/>
      <c r="BH136" s="689"/>
      <c r="BI136" s="689"/>
      <c r="BJ136" s="689"/>
      <c r="BK136" s="689"/>
      <c r="BL136" s="689"/>
      <c r="BM136" s="689"/>
      <c r="BN136" s="689"/>
      <c r="BO136" s="689"/>
      <c r="BP136" s="689"/>
      <c r="BQ136" s="689"/>
      <c r="BR136" s="689"/>
      <c r="BS136" s="689"/>
      <c r="BT136" s="689"/>
      <c r="BU136" s="689"/>
      <c r="BV136" s="689"/>
      <c r="BW136" s="689"/>
      <c r="BX136" s="689"/>
      <c r="BY136" s="689"/>
      <c r="BZ136" s="689"/>
    </row>
    <row r="137" spans="2:78" x14ac:dyDescent="0.15">
      <c r="C137" s="11"/>
      <c r="D137" s="28"/>
      <c r="E137" s="688"/>
      <c r="F137" s="689"/>
      <c r="G137" s="689"/>
      <c r="H137" s="689"/>
      <c r="I137" s="689"/>
      <c r="J137" s="689"/>
      <c r="K137" s="689"/>
      <c r="L137" s="689"/>
      <c r="M137" s="689"/>
      <c r="N137" s="689"/>
      <c r="O137" s="689"/>
      <c r="P137" s="633"/>
      <c r="Q137" s="689"/>
      <c r="R137" s="689"/>
      <c r="S137" s="689"/>
      <c r="T137" s="689"/>
      <c r="U137" s="689"/>
      <c r="V137" s="689"/>
      <c r="W137" s="689"/>
      <c r="X137" s="689"/>
      <c r="Y137" s="689"/>
      <c r="Z137" s="689"/>
      <c r="AA137" s="689"/>
      <c r="AB137" s="689"/>
      <c r="AC137" s="689"/>
      <c r="AD137" s="689"/>
      <c r="AE137" s="689"/>
      <c r="AF137" s="689"/>
      <c r="AG137" s="689"/>
      <c r="AH137" s="689"/>
      <c r="AI137" s="689"/>
      <c r="AJ137" s="689"/>
      <c r="AK137" s="689"/>
      <c r="AL137" s="689"/>
      <c r="AM137" s="689"/>
      <c r="AN137" s="689"/>
      <c r="AO137" s="689"/>
      <c r="AP137" s="689"/>
      <c r="AQ137" s="689"/>
      <c r="AR137" s="689"/>
      <c r="AS137" s="689"/>
      <c r="AT137" s="689"/>
      <c r="AU137" s="689"/>
      <c r="AV137" s="689"/>
      <c r="AW137" s="689"/>
      <c r="AX137" s="689"/>
      <c r="AY137" s="689"/>
      <c r="AZ137" s="689"/>
      <c r="BA137" s="689"/>
      <c r="BB137" s="689"/>
      <c r="BC137" s="689"/>
      <c r="BD137" s="689"/>
      <c r="BE137" s="689"/>
      <c r="BF137" s="689"/>
      <c r="BG137" s="689"/>
      <c r="BH137" s="689"/>
      <c r="BI137" s="689"/>
      <c r="BJ137" s="689"/>
      <c r="BK137" s="689"/>
      <c r="BL137" s="689"/>
      <c r="BM137" s="689"/>
      <c r="BN137" s="689"/>
      <c r="BO137" s="689"/>
      <c r="BP137" s="689"/>
      <c r="BQ137" s="689"/>
      <c r="BR137" s="689"/>
      <c r="BS137" s="689"/>
      <c r="BT137" s="689"/>
      <c r="BU137" s="689"/>
      <c r="BV137" s="689"/>
      <c r="BW137" s="689"/>
      <c r="BX137" s="689"/>
      <c r="BY137" s="689"/>
      <c r="BZ137" s="689"/>
    </row>
    <row r="138" spans="2:78" x14ac:dyDescent="0.15">
      <c r="C138" s="633" t="s">
        <v>236</v>
      </c>
      <c r="D138" s="12">
        <f ca="1">SUM(F132:J132)</f>
        <v>5634284.4454870429</v>
      </c>
      <c r="E138" s="688"/>
      <c r="F138" s="689"/>
      <c r="G138" s="689"/>
      <c r="H138" s="689"/>
      <c r="I138" s="689"/>
      <c r="J138" s="689"/>
      <c r="K138" s="689"/>
      <c r="L138" s="689"/>
      <c r="M138" s="689"/>
      <c r="N138" s="689"/>
      <c r="O138" s="689"/>
      <c r="P138" s="689"/>
      <c r="Q138" s="689"/>
      <c r="R138" s="689"/>
      <c r="S138" s="689"/>
      <c r="T138" s="689"/>
      <c r="U138" s="689"/>
      <c r="V138" s="689"/>
      <c r="W138" s="689"/>
      <c r="X138" s="689"/>
      <c r="Y138" s="689"/>
      <c r="Z138" s="689"/>
      <c r="AA138" s="689"/>
      <c r="AB138" s="689"/>
      <c r="AC138" s="689"/>
      <c r="AD138" s="689"/>
      <c r="AE138" s="689"/>
      <c r="AF138" s="689"/>
      <c r="AG138" s="689"/>
      <c r="AH138" s="689"/>
      <c r="AI138" s="689"/>
      <c r="AJ138" s="689"/>
      <c r="AK138" s="689"/>
      <c r="AL138" s="689"/>
      <c r="AM138" s="689"/>
      <c r="AN138" s="689"/>
      <c r="AO138" s="689"/>
      <c r="AP138" s="689"/>
      <c r="AQ138" s="689"/>
      <c r="AR138" s="689"/>
      <c r="AS138" s="689"/>
      <c r="AT138" s="689"/>
      <c r="AU138" s="689"/>
      <c r="AV138" s="689"/>
      <c r="AW138" s="689"/>
      <c r="AX138" s="689"/>
      <c r="AY138" s="689"/>
      <c r="AZ138" s="689"/>
      <c r="BA138" s="689"/>
      <c r="BB138" s="689"/>
      <c r="BC138" s="689"/>
      <c r="BD138" s="689"/>
      <c r="BE138" s="689"/>
      <c r="BF138" s="689"/>
      <c r="BG138" s="689"/>
      <c r="BH138" s="689"/>
      <c r="BI138" s="689"/>
      <c r="BJ138" s="689"/>
      <c r="BK138" s="689"/>
      <c r="BL138" s="689"/>
      <c r="BM138" s="689"/>
      <c r="BN138" s="689"/>
      <c r="BO138" s="689"/>
      <c r="BP138" s="689"/>
      <c r="BQ138" s="689"/>
      <c r="BR138" s="689"/>
      <c r="BS138" s="689"/>
      <c r="BT138" s="689"/>
      <c r="BU138" s="689"/>
      <c r="BV138" s="689"/>
      <c r="BW138" s="689"/>
      <c r="BX138" s="689"/>
      <c r="BY138" s="689"/>
      <c r="BZ138" s="689"/>
    </row>
    <row r="139" spans="2:78" x14ac:dyDescent="0.15">
      <c r="C139" s="633" t="s">
        <v>237</v>
      </c>
      <c r="D139" s="12">
        <f ca="1">SUM(F133:J133)</f>
        <v>709320.67716344167</v>
      </c>
      <c r="E139" s="688"/>
      <c r="F139" s="689"/>
      <c r="G139" s="689"/>
      <c r="H139" s="689"/>
      <c r="I139" s="689"/>
      <c r="J139" s="689"/>
      <c r="K139" s="689"/>
      <c r="L139" s="689"/>
      <c r="M139" s="689"/>
      <c r="N139" s="689"/>
      <c r="O139" s="689"/>
      <c r="P139" s="689"/>
      <c r="Q139" s="689"/>
      <c r="R139" s="689"/>
      <c r="S139" s="689"/>
      <c r="T139" s="689"/>
      <c r="U139" s="689"/>
      <c r="V139" s="689"/>
      <c r="W139" s="689"/>
      <c r="X139" s="689"/>
      <c r="Y139" s="689"/>
      <c r="Z139" s="689"/>
      <c r="AA139" s="689"/>
      <c r="AB139" s="689"/>
      <c r="AC139" s="689"/>
      <c r="AD139" s="689"/>
      <c r="AE139" s="689"/>
      <c r="AF139" s="689"/>
      <c r="AG139" s="689"/>
      <c r="AH139" s="689"/>
      <c r="AI139" s="689"/>
      <c r="AJ139" s="689"/>
      <c r="AK139" s="689"/>
      <c r="AL139" s="689"/>
      <c r="AM139" s="689"/>
      <c r="AN139" s="689"/>
      <c r="AO139" s="689"/>
      <c r="AP139" s="689"/>
      <c r="AQ139" s="689"/>
      <c r="AR139" s="689"/>
      <c r="AS139" s="689"/>
      <c r="AT139" s="689"/>
      <c r="AU139" s="689"/>
      <c r="AV139" s="689"/>
      <c r="AW139" s="689"/>
      <c r="AX139" s="689"/>
      <c r="AY139" s="689"/>
      <c r="AZ139" s="689"/>
      <c r="BA139" s="689"/>
      <c r="BB139" s="689"/>
      <c r="BC139" s="689"/>
      <c r="BD139" s="689"/>
      <c r="BE139" s="689"/>
      <c r="BF139" s="689"/>
      <c r="BG139" s="689"/>
      <c r="BH139" s="689"/>
      <c r="BI139" s="689"/>
      <c r="BJ139" s="689"/>
      <c r="BK139" s="689"/>
      <c r="BL139" s="689"/>
      <c r="BM139" s="689"/>
      <c r="BN139" s="689"/>
      <c r="BO139" s="689"/>
      <c r="BP139" s="689"/>
      <c r="BQ139" s="689"/>
      <c r="BR139" s="689"/>
      <c r="BS139" s="689"/>
      <c r="BT139" s="689"/>
      <c r="BU139" s="689"/>
      <c r="BV139" s="689"/>
      <c r="BW139" s="689"/>
      <c r="BX139" s="689"/>
      <c r="BY139" s="689"/>
      <c r="BZ139" s="689"/>
    </row>
    <row r="140" spans="2:78" x14ac:dyDescent="0.15">
      <c r="C140" s="14"/>
      <c r="D140" s="28"/>
      <c r="E140" s="633"/>
      <c r="F140" s="689"/>
      <c r="G140" s="689"/>
      <c r="H140" s="689"/>
      <c r="I140" s="689"/>
      <c r="J140" s="689"/>
      <c r="K140" s="689"/>
      <c r="L140" s="689"/>
      <c r="M140" s="689"/>
      <c r="N140" s="689"/>
      <c r="O140" s="689"/>
      <c r="P140" s="689"/>
      <c r="Q140" s="689"/>
      <c r="R140" s="689"/>
      <c r="S140" s="689"/>
      <c r="T140" s="689"/>
      <c r="U140" s="689"/>
      <c r="V140" s="689"/>
      <c r="W140" s="689"/>
      <c r="X140" s="689"/>
      <c r="Y140" s="689"/>
      <c r="Z140" s="689"/>
      <c r="AA140" s="689"/>
      <c r="AB140" s="689"/>
      <c r="AC140" s="689"/>
      <c r="AD140" s="689"/>
      <c r="AE140" s="689"/>
      <c r="AF140" s="689"/>
      <c r="AG140" s="689"/>
      <c r="AH140" s="689"/>
      <c r="AI140" s="689"/>
      <c r="AJ140" s="689"/>
      <c r="AK140" s="689"/>
      <c r="AL140" s="689"/>
      <c r="AM140" s="689"/>
      <c r="AN140" s="689"/>
      <c r="AO140" s="689"/>
      <c r="AP140" s="689"/>
      <c r="AQ140" s="689"/>
      <c r="AR140" s="689"/>
      <c r="AS140" s="689"/>
      <c r="AT140" s="689"/>
      <c r="AU140" s="689"/>
      <c r="AV140" s="689"/>
      <c r="AW140" s="689"/>
      <c r="AX140" s="689"/>
      <c r="AY140" s="689"/>
      <c r="AZ140" s="689"/>
      <c r="BA140" s="689"/>
      <c r="BB140" s="689"/>
      <c r="BC140" s="689"/>
      <c r="BD140" s="689"/>
      <c r="BE140" s="689"/>
      <c r="BF140" s="689"/>
      <c r="BG140" s="689"/>
      <c r="BH140" s="689"/>
      <c r="BI140" s="689"/>
      <c r="BJ140" s="689"/>
      <c r="BK140" s="689"/>
      <c r="BL140" s="689"/>
      <c r="BM140" s="689"/>
      <c r="BN140" s="689"/>
      <c r="BO140" s="689"/>
      <c r="BP140" s="689"/>
      <c r="BQ140" s="689"/>
      <c r="BR140" s="689"/>
      <c r="BS140" s="689"/>
      <c r="BT140" s="689"/>
      <c r="BU140" s="689"/>
      <c r="BV140" s="689"/>
      <c r="BW140" s="689"/>
      <c r="BX140" s="689"/>
      <c r="BY140" s="689"/>
      <c r="BZ140" s="689"/>
    </row>
    <row r="141" spans="2:78" x14ac:dyDescent="0.15">
      <c r="C141" s="11" t="s">
        <v>238</v>
      </c>
      <c r="D141" s="28"/>
      <c r="E141" s="633"/>
      <c r="F141" s="689"/>
      <c r="G141" s="689"/>
      <c r="H141" s="689"/>
      <c r="I141" s="689"/>
      <c r="J141" s="689"/>
      <c r="K141" s="689"/>
      <c r="L141" s="689"/>
      <c r="M141" s="689"/>
      <c r="N141" s="689"/>
      <c r="O141" s="689"/>
      <c r="P141" s="689"/>
      <c r="Q141" s="689"/>
      <c r="R141" s="689"/>
      <c r="S141" s="689"/>
      <c r="T141" s="689"/>
      <c r="U141" s="689"/>
      <c r="V141" s="689"/>
      <c r="W141" s="689"/>
      <c r="X141" s="689"/>
      <c r="Y141" s="689"/>
      <c r="Z141" s="689"/>
      <c r="AA141" s="689"/>
      <c r="AB141" s="689"/>
      <c r="AC141" s="689"/>
      <c r="AD141" s="689"/>
      <c r="AE141" s="689"/>
      <c r="AF141" s="689"/>
      <c r="AG141" s="689"/>
      <c r="AH141" s="689"/>
      <c r="AI141" s="689"/>
      <c r="AJ141" s="689"/>
      <c r="AK141" s="689"/>
      <c r="AL141" s="689"/>
      <c r="AM141" s="689"/>
      <c r="AN141" s="689"/>
      <c r="AO141" s="689"/>
      <c r="AP141" s="689"/>
      <c r="AQ141" s="689"/>
      <c r="AR141" s="689"/>
      <c r="AS141" s="689"/>
      <c r="AT141" s="689"/>
      <c r="AU141" s="689"/>
      <c r="AV141" s="689"/>
      <c r="AW141" s="689"/>
      <c r="AX141" s="689"/>
      <c r="AY141" s="689"/>
      <c r="AZ141" s="689"/>
      <c r="BA141" s="689"/>
      <c r="BB141" s="689"/>
      <c r="BC141" s="689"/>
      <c r="BD141" s="689"/>
      <c r="BE141" s="689"/>
      <c r="BF141" s="689"/>
      <c r="BG141" s="689"/>
      <c r="BH141" s="689"/>
      <c r="BI141" s="689"/>
      <c r="BJ141" s="689"/>
      <c r="BK141" s="689"/>
      <c r="BL141" s="689"/>
      <c r="BM141" s="689"/>
      <c r="BN141" s="689"/>
      <c r="BO141" s="689"/>
      <c r="BP141" s="689"/>
      <c r="BQ141" s="689"/>
      <c r="BR141" s="689"/>
      <c r="BS141" s="689"/>
      <c r="BT141" s="689"/>
      <c r="BU141" s="689"/>
      <c r="BV141" s="689"/>
      <c r="BW141" s="689"/>
      <c r="BX141" s="689"/>
      <c r="BY141" s="689"/>
      <c r="BZ141" s="689"/>
    </row>
    <row r="142" spans="2:78" x14ac:dyDescent="0.15">
      <c r="C142" s="636" t="s">
        <v>239</v>
      </c>
      <c r="E142" s="697"/>
      <c r="F142" s="12">
        <f>(IF(N7="Yes",-(MIN(-E132,Notes!D83)),-Notes!D83))-(ResAssets/27.5)-(CommAssets/39)</f>
        <v>-2898678.7272727271</v>
      </c>
      <c r="G142" s="12">
        <f>(-ResAssets/27.5)+(-CommAssets/39)</f>
        <v>-15272.727272727272</v>
      </c>
      <c r="H142" s="12">
        <f t="shared" ref="H142:AF142" si="257">(-ResAssets/27.5)+(-CommAssets/39)</f>
        <v>-15272.727272727272</v>
      </c>
      <c r="I142" s="12">
        <f t="shared" si="257"/>
        <v>-15272.727272727272</v>
      </c>
      <c r="J142" s="12">
        <f t="shared" si="257"/>
        <v>-15272.727272727272</v>
      </c>
      <c r="K142" s="12">
        <f t="shared" si="257"/>
        <v>-15272.727272727272</v>
      </c>
      <c r="L142" s="12">
        <f t="shared" si="257"/>
        <v>-15272.727272727272</v>
      </c>
      <c r="M142" s="12">
        <f t="shared" si="257"/>
        <v>-15272.727272727272</v>
      </c>
      <c r="N142" s="12">
        <f t="shared" si="257"/>
        <v>-15272.727272727272</v>
      </c>
      <c r="O142" s="12">
        <f t="shared" si="257"/>
        <v>-15272.727272727272</v>
      </c>
      <c r="P142" s="12">
        <f t="shared" si="257"/>
        <v>-15272.727272727272</v>
      </c>
      <c r="Q142" s="12">
        <f t="shared" si="257"/>
        <v>-15272.727272727272</v>
      </c>
      <c r="R142" s="12">
        <f t="shared" si="257"/>
        <v>-15272.727272727272</v>
      </c>
      <c r="S142" s="12">
        <f t="shared" si="257"/>
        <v>-15272.727272727272</v>
      </c>
      <c r="T142" s="12">
        <f t="shared" si="257"/>
        <v>-15272.727272727272</v>
      </c>
      <c r="U142" s="12">
        <f t="shared" si="257"/>
        <v>-15272.727272727272</v>
      </c>
      <c r="V142" s="12">
        <f t="shared" si="257"/>
        <v>-15272.727272727272</v>
      </c>
      <c r="W142" s="12">
        <f t="shared" si="257"/>
        <v>-15272.727272727272</v>
      </c>
      <c r="X142" s="12">
        <f t="shared" si="257"/>
        <v>-15272.727272727272</v>
      </c>
      <c r="Y142" s="12">
        <f t="shared" si="257"/>
        <v>-15272.727272727272</v>
      </c>
      <c r="Z142" s="12">
        <f t="shared" si="257"/>
        <v>-15272.727272727272</v>
      </c>
      <c r="AA142" s="12">
        <f t="shared" si="257"/>
        <v>-15272.727272727272</v>
      </c>
      <c r="AB142" s="12">
        <f t="shared" si="257"/>
        <v>-15272.727272727272</v>
      </c>
      <c r="AC142" s="12">
        <f t="shared" si="257"/>
        <v>-15272.727272727272</v>
      </c>
      <c r="AD142" s="12">
        <f t="shared" si="257"/>
        <v>-15272.727272727272</v>
      </c>
      <c r="AE142" s="12">
        <f t="shared" si="257"/>
        <v>-15272.727272727272</v>
      </c>
      <c r="AF142" s="12">
        <f t="shared" si="257"/>
        <v>-15272.727272727272</v>
      </c>
      <c r="AG142" s="12">
        <f>((-ResAssets/(27.5))/2)+(-CommAssets/39)</f>
        <v>-7636.363636363636</v>
      </c>
      <c r="AH142" s="12">
        <f>-CommAssets/39</f>
        <v>0</v>
      </c>
      <c r="AI142" s="12">
        <f>-CommAssets/39</f>
        <v>0</v>
      </c>
      <c r="AJ142" s="12">
        <f>-CommAssets/39</f>
        <v>0</v>
      </c>
      <c r="AK142" s="633"/>
      <c r="AL142" s="633"/>
      <c r="AM142" s="633"/>
      <c r="AN142" s="633"/>
      <c r="AO142" s="633"/>
      <c r="AP142" s="633"/>
      <c r="AQ142" s="633"/>
      <c r="AR142" s="633"/>
      <c r="AS142" s="633"/>
      <c r="AT142" s="633"/>
      <c r="AU142" s="633"/>
      <c r="AV142" s="633"/>
      <c r="AW142" s="633"/>
      <c r="AX142" s="633"/>
      <c r="AY142" s="633"/>
      <c r="AZ142" s="633"/>
      <c r="BA142" s="633"/>
      <c r="BB142" s="633"/>
      <c r="BC142" s="633"/>
      <c r="BD142" s="633"/>
      <c r="BE142" s="633"/>
      <c r="BF142" s="633"/>
      <c r="BG142" s="633"/>
      <c r="BH142" s="633"/>
      <c r="BI142" s="633"/>
      <c r="BJ142" s="633"/>
      <c r="BK142" s="633"/>
      <c r="BL142" s="633"/>
      <c r="BM142" s="633"/>
      <c r="BN142" s="633"/>
      <c r="BO142" s="633"/>
      <c r="BP142" s="633"/>
      <c r="BQ142" s="633"/>
      <c r="BR142" s="633"/>
      <c r="BS142" s="633"/>
      <c r="BT142" s="633"/>
      <c r="BU142" s="633"/>
      <c r="BV142" s="633"/>
      <c r="BW142" s="633"/>
      <c r="BX142" s="633"/>
      <c r="BY142" s="633"/>
      <c r="BZ142" s="633"/>
    </row>
    <row r="143" spans="2:78" x14ac:dyDescent="0.15">
      <c r="C143" s="127" t="s">
        <v>240</v>
      </c>
      <c r="D143" s="128"/>
      <c r="E143" s="129"/>
      <c r="F143" s="130">
        <f ca="1">F87-(F98)+F142</f>
        <v>-2906694.6529602269</v>
      </c>
      <c r="G143" s="130">
        <f ca="1">G87-(G98)+G142</f>
        <v>88303.447081808496</v>
      </c>
      <c r="H143" s="130">
        <f ca="1">H87-(H98)+H142</f>
        <v>215887.91476132142</v>
      </c>
      <c r="I143" s="130">
        <f ca="1">I87-(I98)+I142</f>
        <v>349950.69052458147</v>
      </c>
      <c r="J143" s="130">
        <f ca="1">J87-(J98)+J142</f>
        <v>484124.45863497298</v>
      </c>
      <c r="K143" s="130">
        <f t="shared" ref="K143:AH143" ca="1" si="258">(K87-K98)+(K142/2)</f>
        <v>225158.24918376841</v>
      </c>
      <c r="L143" s="130">
        <f t="shared" ca="1" si="258"/>
        <v>262571.88492110663</v>
      </c>
      <c r="M143" s="130">
        <f t="shared" ca="1" si="258"/>
        <v>301675.7197649969</v>
      </c>
      <c r="N143" s="130">
        <f t="shared" ca="1" si="258"/>
        <v>342545.12715585792</v>
      </c>
      <c r="O143" s="130">
        <f t="shared" ca="1" si="258"/>
        <v>385258.87785833911</v>
      </c>
      <c r="P143" s="130">
        <f t="shared" ca="1" si="258"/>
        <v>429899.29674937122</v>
      </c>
      <c r="Q143" s="130">
        <f t="shared" ca="1" si="258"/>
        <v>476552.42706846632</v>
      </c>
      <c r="R143" s="130">
        <f t="shared" ca="1" si="258"/>
        <v>525308.20249766682</v>
      </c>
      <c r="S143" s="130">
        <f t="shared" ca="1" si="258"/>
        <v>576260.62745723058</v>
      </c>
      <c r="T143" s="130">
        <f t="shared" ca="1" si="258"/>
        <v>629507.96602284012</v>
      </c>
      <c r="U143" s="130">
        <f t="shared" ca="1" si="258"/>
        <v>685152.93989082694</v>
      </c>
      <c r="V143" s="130">
        <f t="shared" ca="1" si="258"/>
        <v>743302.93583973113</v>
      </c>
      <c r="W143" s="130">
        <f t="shared" ca="1" si="258"/>
        <v>804070.22315946186</v>
      </c>
      <c r="X143" s="130">
        <f t="shared" ca="1" si="258"/>
        <v>867572.18154350447</v>
      </c>
      <c r="Y143" s="130">
        <f t="shared" ca="1" si="258"/>
        <v>933931.53996506205</v>
      </c>
      <c r="Z143" s="130">
        <f t="shared" ca="1" si="258"/>
        <v>1003276.6270848248</v>
      </c>
      <c r="AA143" s="130">
        <f t="shared" ca="1" si="258"/>
        <v>1075741.6337662628</v>
      </c>
      <c r="AB143" s="130">
        <f t="shared" ca="1" si="258"/>
        <v>1151466.8883040454</v>
      </c>
      <c r="AC143" s="130">
        <f t="shared" ca="1" si="258"/>
        <v>1230599.1450025025</v>
      </c>
      <c r="AD143" s="130">
        <f t="shared" ca="1" si="258"/>
        <v>1313291.8867739607</v>
      </c>
      <c r="AE143" s="130">
        <f t="shared" ca="1" si="258"/>
        <v>1399705.6424615181</v>
      </c>
      <c r="AF143" s="130">
        <f t="shared" ca="1" si="258"/>
        <v>1490008.3196273569</v>
      </c>
      <c r="AG143" s="130">
        <f t="shared" ca="1" si="258"/>
        <v>1588193.7354043983</v>
      </c>
      <c r="AH143" s="130">
        <f t="shared" ca="1" si="258"/>
        <v>1690627.4371405558</v>
      </c>
      <c r="AI143" s="130">
        <f t="shared" ref="AI143:AJ143" ca="1" si="259">(AI87-AI98)+(AI142/2)</f>
        <v>1793683.4500621348</v>
      </c>
      <c r="AJ143" s="130">
        <f t="shared" ca="1" si="259"/>
        <v>1901381.0437733743</v>
      </c>
      <c r="AK143" s="633"/>
      <c r="AL143" s="633"/>
      <c r="AM143" s="633"/>
      <c r="AN143" s="633"/>
      <c r="AO143" s="633"/>
      <c r="AP143" s="633"/>
      <c r="AQ143" s="633"/>
      <c r="AR143" s="633"/>
      <c r="AS143" s="633"/>
      <c r="AT143" s="633"/>
      <c r="AU143" s="633"/>
      <c r="AV143" s="633"/>
      <c r="AW143" s="633"/>
      <c r="AX143" s="633"/>
      <c r="AY143" s="633"/>
      <c r="AZ143" s="633"/>
      <c r="BA143" s="633"/>
      <c r="BB143" s="633"/>
      <c r="BC143" s="633"/>
      <c r="BD143" s="633"/>
      <c r="BE143" s="633"/>
      <c r="BF143" s="633"/>
      <c r="BG143" s="633"/>
      <c r="BH143" s="633"/>
      <c r="BI143" s="633"/>
      <c r="BJ143" s="633"/>
      <c r="BK143" s="633"/>
      <c r="BL143" s="633"/>
      <c r="BM143" s="633"/>
      <c r="BN143" s="633"/>
      <c r="BO143" s="633"/>
      <c r="BP143" s="633"/>
      <c r="BQ143" s="633"/>
      <c r="BR143" s="633"/>
      <c r="BS143" s="633"/>
      <c r="BT143" s="633"/>
      <c r="BU143" s="633"/>
      <c r="BV143" s="633"/>
      <c r="BW143" s="633"/>
      <c r="BX143" s="633"/>
      <c r="BY143" s="633"/>
      <c r="BZ143" s="633"/>
    </row>
    <row r="144" spans="2:78" x14ac:dyDescent="0.15">
      <c r="C144" s="636" t="s">
        <v>241</v>
      </c>
      <c r="D144" s="84">
        <v>0.4</v>
      </c>
      <c r="E144" s="693"/>
      <c r="F144" s="12">
        <f>-F142*$D$144</f>
        <v>1159471.490909091</v>
      </c>
      <c r="G144" s="12">
        <f t="shared" ref="G144:AH144" si="260">-G142*$D$144</f>
        <v>6109.090909090909</v>
      </c>
      <c r="H144" s="12">
        <f t="shared" si="260"/>
        <v>6109.090909090909</v>
      </c>
      <c r="I144" s="12">
        <f t="shared" si="260"/>
        <v>6109.090909090909</v>
      </c>
      <c r="J144" s="12">
        <f t="shared" si="260"/>
        <v>6109.090909090909</v>
      </c>
      <c r="K144" s="12">
        <f t="shared" si="260"/>
        <v>6109.090909090909</v>
      </c>
      <c r="L144" s="12">
        <f t="shared" si="260"/>
        <v>6109.090909090909</v>
      </c>
      <c r="M144" s="12">
        <f t="shared" si="260"/>
        <v>6109.090909090909</v>
      </c>
      <c r="N144" s="12">
        <f t="shared" si="260"/>
        <v>6109.090909090909</v>
      </c>
      <c r="O144" s="12">
        <f t="shared" si="260"/>
        <v>6109.090909090909</v>
      </c>
      <c r="P144" s="12">
        <f t="shared" si="260"/>
        <v>6109.090909090909</v>
      </c>
      <c r="Q144" s="12">
        <f t="shared" si="260"/>
        <v>6109.090909090909</v>
      </c>
      <c r="R144" s="12">
        <f t="shared" si="260"/>
        <v>6109.090909090909</v>
      </c>
      <c r="S144" s="12">
        <f t="shared" si="260"/>
        <v>6109.090909090909</v>
      </c>
      <c r="T144" s="12">
        <f t="shared" si="260"/>
        <v>6109.090909090909</v>
      </c>
      <c r="U144" s="12">
        <f t="shared" si="260"/>
        <v>6109.090909090909</v>
      </c>
      <c r="V144" s="12">
        <f t="shared" si="260"/>
        <v>6109.090909090909</v>
      </c>
      <c r="W144" s="12">
        <f t="shared" si="260"/>
        <v>6109.090909090909</v>
      </c>
      <c r="X144" s="12">
        <f t="shared" si="260"/>
        <v>6109.090909090909</v>
      </c>
      <c r="Y144" s="12">
        <f t="shared" si="260"/>
        <v>6109.090909090909</v>
      </c>
      <c r="Z144" s="12">
        <f t="shared" si="260"/>
        <v>6109.090909090909</v>
      </c>
      <c r="AA144" s="12">
        <f t="shared" si="260"/>
        <v>6109.090909090909</v>
      </c>
      <c r="AB144" s="12">
        <f t="shared" si="260"/>
        <v>6109.090909090909</v>
      </c>
      <c r="AC144" s="12">
        <f t="shared" si="260"/>
        <v>6109.090909090909</v>
      </c>
      <c r="AD144" s="12">
        <f t="shared" si="260"/>
        <v>6109.090909090909</v>
      </c>
      <c r="AE144" s="12">
        <f t="shared" si="260"/>
        <v>6109.090909090909</v>
      </c>
      <c r="AF144" s="12">
        <f t="shared" si="260"/>
        <v>6109.090909090909</v>
      </c>
      <c r="AG144" s="12">
        <f t="shared" si="260"/>
        <v>3054.5454545454545</v>
      </c>
      <c r="AH144" s="12">
        <f t="shared" si="260"/>
        <v>0</v>
      </c>
      <c r="AI144" s="12">
        <f t="shared" ref="AI144:AJ144" si="261">-AI142*$D$144</f>
        <v>0</v>
      </c>
      <c r="AJ144" s="12">
        <f t="shared" si="261"/>
        <v>0</v>
      </c>
      <c r="AK144" s="633"/>
      <c r="AL144" s="633"/>
      <c r="AM144" s="633"/>
      <c r="AN144" s="633"/>
      <c r="AO144" s="633"/>
      <c r="AP144" s="633"/>
      <c r="AQ144" s="633"/>
      <c r="AR144" s="633"/>
      <c r="AS144" s="633"/>
      <c r="AT144" s="633"/>
      <c r="AU144" s="633"/>
      <c r="AV144" s="633"/>
      <c r="AW144" s="633"/>
      <c r="AX144" s="633"/>
      <c r="AY144" s="633"/>
      <c r="AZ144" s="633"/>
      <c r="BA144" s="633"/>
      <c r="BB144" s="633"/>
      <c r="BC144" s="633"/>
      <c r="BD144" s="633"/>
      <c r="BE144" s="633"/>
      <c r="BF144" s="633"/>
      <c r="BG144" s="633"/>
      <c r="BH144" s="633"/>
      <c r="BI144" s="633"/>
      <c r="BJ144" s="633"/>
      <c r="BK144" s="633"/>
      <c r="BL144" s="633"/>
      <c r="BM144" s="633"/>
      <c r="BN144" s="633"/>
      <c r="BO144" s="633"/>
      <c r="BP144" s="633"/>
      <c r="BQ144" s="633"/>
      <c r="BR144" s="633"/>
      <c r="BS144" s="633"/>
      <c r="BT144" s="633"/>
      <c r="BU144" s="633"/>
      <c r="BV144" s="633"/>
      <c r="BW144" s="633"/>
      <c r="BX144" s="633"/>
      <c r="BY144" s="633"/>
      <c r="BZ144" s="633"/>
    </row>
    <row r="145" spans="1:36" x14ac:dyDescent="0.15">
      <c r="A145" s="633"/>
      <c r="C145" s="636" t="s">
        <v>242</v>
      </c>
      <c r="D145" s="85"/>
      <c r="E145" s="155">
        <f>E132</f>
        <v>-3909999.8119999999</v>
      </c>
      <c r="F145" s="155">
        <f t="shared" ref="F145:AH145" ca="1" si="262">F132+F144</f>
        <v>1170124.2889203478</v>
      </c>
      <c r="G145" s="155">
        <f t="shared" ca="1" si="262"/>
        <v>126324.74692034774</v>
      </c>
      <c r="H145" s="155">
        <f t="shared" ca="1" si="262"/>
        <v>251764.16308034776</v>
      </c>
      <c r="I145" s="155">
        <f t="shared" ca="1" si="262"/>
        <v>383559.46856354765</v>
      </c>
      <c r="J145" s="155">
        <f t="shared" ca="1" si="262"/>
        <v>4886419.6325479066</v>
      </c>
      <c r="K145" s="155">
        <f t="shared" ca="1" si="262"/>
        <v>75056.879220508185</v>
      </c>
      <c r="L145" s="155">
        <f t="shared" ca="1" si="262"/>
        <v>90995.561400516046</v>
      </c>
      <c r="M145" s="155">
        <f t="shared" ca="1" si="262"/>
        <v>107617.85413458795</v>
      </c>
      <c r="N145" s="155">
        <f t="shared" ca="1" si="262"/>
        <v>124952.02311022408</v>
      </c>
      <c r="O145" s="155">
        <f t="shared" ca="1" si="262"/>
        <v>143027.48306773059</v>
      </c>
      <c r="P145" s="155">
        <f t="shared" ca="1" si="262"/>
        <v>161874.84413083954</v>
      </c>
      <c r="Q145" s="155">
        <f t="shared" ca="1" si="262"/>
        <v>181525.95999792093</v>
      </c>
      <c r="R145" s="155">
        <f t="shared" ca="1" si="262"/>
        <v>202013.97806836278</v>
      </c>
      <c r="S145" s="155">
        <f t="shared" ca="1" si="262"/>
        <v>223373.39158167262</v>
      </c>
      <c r="T145" s="155">
        <f t="shared" ca="1" si="262"/>
        <v>245640.09384996651</v>
      </c>
      <c r="U145" s="155">
        <f t="shared" ca="1" si="262"/>
        <v>268851.43466773268</v>
      </c>
      <c r="V145" s="155">
        <f t="shared" ca="1" si="262"/>
        <v>293046.27898612502</v>
      </c>
      <c r="W145" s="155">
        <f t="shared" ca="1" si="262"/>
        <v>318265.06794252677</v>
      </c>
      <c r="X145" s="155">
        <f t="shared" ca="1" si="262"/>
        <v>344549.88233976415</v>
      </c>
      <c r="Y145" s="155">
        <f t="shared" ca="1" si="262"/>
        <v>371944.50867312169</v>
      </c>
      <c r="Z145" s="155">
        <f t="shared" ca="1" si="262"/>
        <v>400494.5078072485</v>
      </c>
      <c r="AA145" s="155">
        <f t="shared" ca="1" si="262"/>
        <v>430247.28640912496</v>
      </c>
      <c r="AB145" s="155">
        <f t="shared" ca="1" si="262"/>
        <v>461252.17124750838</v>
      </c>
      <c r="AC145" s="155">
        <f t="shared" ca="1" si="262"/>
        <v>493560.48647370748</v>
      </c>
      <c r="AD145" s="155">
        <f t="shared" ca="1" si="262"/>
        <v>527225.63400312047</v>
      </c>
      <c r="AE145" s="155">
        <f t="shared" ca="1" si="262"/>
        <v>562303.17712175974</v>
      </c>
      <c r="AF145" s="155">
        <f t="shared" ca="1" si="262"/>
        <v>598850.92744695477</v>
      </c>
      <c r="AG145" s="155">
        <f t="shared" ca="1" si="262"/>
        <v>633874.48992205854</v>
      </c>
      <c r="AH145" s="155">
        <f t="shared" ca="1" si="262"/>
        <v>670490.99325762363</v>
      </c>
      <c r="AI145" s="155">
        <f t="shared" ref="AI145:AJ145" ca="1" si="263">AI132+AI144</f>
        <v>711820.09687348059</v>
      </c>
      <c r="AJ145" s="155">
        <f t="shared" ca="1" si="263"/>
        <v>18315179.803375375</v>
      </c>
    </row>
    <row r="146" spans="1:36" x14ac:dyDescent="0.15">
      <c r="A146" s="633"/>
      <c r="C146" s="86" t="s">
        <v>243</v>
      </c>
      <c r="D146" s="37">
        <f ca="1">IRR(E145:AJ145)</f>
        <v>0.19044541812226745</v>
      </c>
      <c r="E146" s="633"/>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AG146" s="87"/>
      <c r="AH146" s="87"/>
      <c r="AI146" s="87"/>
      <c r="AJ146" s="87"/>
    </row>
    <row r="147" spans="1:36" x14ac:dyDescent="0.15">
      <c r="A147" s="633"/>
      <c r="C147" s="633"/>
      <c r="E147" s="633"/>
      <c r="F147" s="13"/>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row>
    <row r="148" spans="1:36" x14ac:dyDescent="0.15">
      <c r="A148" s="633"/>
      <c r="C148" s="633"/>
      <c r="E148" s="633"/>
      <c r="F148" s="633"/>
      <c r="G148" s="633"/>
      <c r="H148" s="633"/>
      <c r="I148" s="633"/>
      <c r="J148" s="698"/>
      <c r="K148" s="699"/>
      <c r="L148" s="699"/>
      <c r="M148" s="699"/>
      <c r="N148" s="699"/>
      <c r="O148" s="699"/>
      <c r="P148" s="699"/>
      <c r="Q148" s="699"/>
      <c r="R148" s="699"/>
      <c r="S148" s="699"/>
      <c r="T148" s="699"/>
      <c r="U148" s="699"/>
      <c r="V148" s="699"/>
      <c r="W148" s="699"/>
      <c r="X148" s="699"/>
      <c r="Y148" s="699"/>
      <c r="Z148" s="699"/>
      <c r="AA148" s="699"/>
      <c r="AB148" s="699"/>
      <c r="AC148" s="633"/>
      <c r="AD148" s="633"/>
      <c r="AE148" s="633"/>
      <c r="AF148" s="633"/>
      <c r="AG148" s="633"/>
      <c r="AH148" s="633"/>
      <c r="AI148" s="633"/>
      <c r="AJ148" s="633"/>
    </row>
    <row r="149" spans="1:36" x14ac:dyDescent="0.15">
      <c r="A149" s="633"/>
      <c r="C149" s="633"/>
      <c r="E149" s="633"/>
      <c r="F149" s="633"/>
      <c r="G149" s="633"/>
      <c r="H149" s="633"/>
      <c r="I149" s="633"/>
      <c r="J149" s="698"/>
      <c r="K149" s="699"/>
      <c r="L149" s="699"/>
      <c r="M149" s="699"/>
      <c r="N149" s="699"/>
      <c r="O149" s="699"/>
      <c r="P149" s="699"/>
      <c r="Q149" s="699"/>
      <c r="R149" s="699"/>
      <c r="S149" s="699"/>
      <c r="T149" s="699"/>
      <c r="U149" s="699"/>
      <c r="V149" s="699"/>
      <c r="W149" s="699"/>
      <c r="X149" s="699"/>
      <c r="Y149" s="699"/>
      <c r="Z149" s="699"/>
      <c r="AA149" s="699"/>
      <c r="AB149" s="699"/>
      <c r="AC149" s="633"/>
      <c r="AD149" s="633"/>
      <c r="AE149" s="633"/>
      <c r="AF149" s="633"/>
      <c r="AG149" s="633"/>
      <c r="AH149" s="633"/>
      <c r="AI149" s="633"/>
      <c r="AJ149" s="633"/>
    </row>
    <row r="150" spans="1:36" x14ac:dyDescent="0.15">
      <c r="A150" s="633"/>
      <c r="C150" s="633"/>
      <c r="E150" s="633"/>
      <c r="F150" s="633"/>
      <c r="G150" s="633"/>
      <c r="H150" s="633"/>
      <c r="I150" s="633"/>
      <c r="J150" s="698"/>
      <c r="K150" s="699"/>
      <c r="L150" s="699"/>
      <c r="M150" s="699"/>
      <c r="N150" s="699"/>
      <c r="O150" s="699"/>
      <c r="P150" s="699"/>
      <c r="Q150" s="699"/>
      <c r="R150" s="699"/>
      <c r="S150" s="699"/>
      <c r="T150" s="699"/>
      <c r="U150" s="699"/>
      <c r="V150" s="699"/>
      <c r="W150" s="699"/>
      <c r="X150" s="699"/>
      <c r="Y150" s="699"/>
      <c r="Z150" s="699"/>
      <c r="AA150" s="699"/>
      <c r="AB150" s="699"/>
      <c r="AC150" s="633"/>
      <c r="AD150" s="633"/>
      <c r="AE150" s="633"/>
      <c r="AF150" s="633"/>
      <c r="AG150" s="633"/>
      <c r="AH150" s="633"/>
      <c r="AI150" s="633"/>
      <c r="AJ150" s="633"/>
    </row>
    <row r="151" spans="1:36" x14ac:dyDescent="0.15">
      <c r="A151" s="633"/>
      <c r="C151" s="633"/>
      <c r="E151" s="633"/>
      <c r="F151" s="633"/>
      <c r="G151" s="633"/>
      <c r="H151" s="633"/>
      <c r="I151" s="633"/>
      <c r="J151" s="698"/>
      <c r="K151" s="699"/>
      <c r="L151" s="699"/>
      <c r="M151" s="699"/>
      <c r="N151" s="699"/>
      <c r="O151" s="699"/>
      <c r="P151" s="699"/>
      <c r="Q151" s="699"/>
      <c r="R151" s="699"/>
      <c r="S151" s="699"/>
      <c r="T151" s="699"/>
      <c r="U151" s="699"/>
      <c r="V151" s="699"/>
      <c r="W151" s="699"/>
      <c r="X151" s="699"/>
      <c r="Y151" s="699"/>
      <c r="Z151" s="699"/>
      <c r="AA151" s="699"/>
      <c r="AB151" s="699"/>
      <c r="AC151" s="633"/>
      <c r="AD151" s="633"/>
      <c r="AE151" s="633"/>
      <c r="AF151" s="633"/>
      <c r="AG151" s="633"/>
      <c r="AH151" s="633"/>
      <c r="AI151" s="633"/>
      <c r="AJ151" s="633"/>
    </row>
    <row r="152" spans="1:36" x14ac:dyDescent="0.15">
      <c r="A152" s="633"/>
      <c r="C152" s="633"/>
      <c r="E152" s="633"/>
      <c r="F152" s="633"/>
      <c r="G152" s="633"/>
      <c r="H152" s="633"/>
      <c r="I152" s="633"/>
      <c r="J152" s="698"/>
      <c r="K152" s="699"/>
      <c r="L152" s="699"/>
      <c r="M152" s="699"/>
      <c r="N152" s="699"/>
      <c r="O152" s="699"/>
      <c r="P152" s="699"/>
      <c r="Q152" s="699"/>
      <c r="R152" s="699"/>
      <c r="S152" s="699"/>
      <c r="T152" s="699"/>
      <c r="U152" s="699"/>
      <c r="V152" s="699"/>
      <c r="W152" s="699"/>
      <c r="X152" s="699"/>
      <c r="Y152" s="699"/>
      <c r="Z152" s="699"/>
      <c r="AA152" s="699"/>
      <c r="AB152" s="699"/>
      <c r="AC152" s="633"/>
      <c r="AD152" s="633"/>
      <c r="AE152" s="633"/>
      <c r="AF152" s="633"/>
      <c r="AG152" s="633"/>
      <c r="AH152" s="633"/>
      <c r="AI152" s="633"/>
      <c r="AJ152" s="633"/>
    </row>
    <row r="153" spans="1:36" x14ac:dyDescent="0.15">
      <c r="A153" s="633"/>
      <c r="C153" s="633"/>
      <c r="E153" s="633"/>
      <c r="F153" s="633"/>
      <c r="G153" s="633"/>
      <c r="H153" s="633"/>
      <c r="I153" s="633"/>
      <c r="J153" s="698"/>
      <c r="K153" s="699"/>
      <c r="L153" s="699"/>
      <c r="M153" s="699"/>
      <c r="N153" s="699"/>
      <c r="O153" s="699"/>
      <c r="P153" s="699"/>
      <c r="Q153" s="699"/>
      <c r="R153" s="699"/>
      <c r="S153" s="699"/>
      <c r="T153" s="699"/>
      <c r="U153" s="699"/>
      <c r="V153" s="699"/>
      <c r="W153" s="699"/>
      <c r="X153" s="699"/>
      <c r="Y153" s="699"/>
      <c r="Z153" s="699"/>
      <c r="AA153" s="699"/>
      <c r="AB153" s="699"/>
      <c r="AC153" s="633"/>
      <c r="AD153" s="633"/>
      <c r="AE153" s="633"/>
      <c r="AF153" s="633"/>
      <c r="AG153" s="633"/>
      <c r="AH153" s="633"/>
      <c r="AI153" s="633"/>
      <c r="AJ153" s="633"/>
    </row>
    <row r="154" spans="1:36" x14ac:dyDescent="0.15">
      <c r="A154" s="633"/>
      <c r="C154" s="633"/>
      <c r="E154" s="633"/>
      <c r="F154" s="633"/>
      <c r="G154" s="633"/>
      <c r="H154" s="633"/>
      <c r="I154" s="633"/>
      <c r="J154" s="698"/>
      <c r="K154" s="699"/>
      <c r="L154" s="699"/>
      <c r="M154" s="699"/>
      <c r="N154" s="699"/>
      <c r="O154" s="699"/>
      <c r="P154" s="699"/>
      <c r="Q154" s="699"/>
      <c r="R154" s="699"/>
      <c r="S154" s="699"/>
      <c r="T154" s="699"/>
      <c r="U154" s="699"/>
      <c r="V154" s="699"/>
      <c r="W154" s="699"/>
      <c r="X154" s="699"/>
      <c r="Y154" s="699"/>
      <c r="Z154" s="699"/>
      <c r="AA154" s="699"/>
      <c r="AB154" s="699"/>
      <c r="AC154" s="633"/>
      <c r="AD154" s="633"/>
      <c r="AE154" s="633"/>
      <c r="AF154" s="633"/>
      <c r="AG154" s="633"/>
      <c r="AH154" s="633"/>
      <c r="AI154" s="633"/>
      <c r="AJ154" s="633"/>
    </row>
    <row r="155" spans="1:36" x14ac:dyDescent="0.15">
      <c r="A155" s="633"/>
      <c r="C155" s="633"/>
      <c r="E155" s="633"/>
      <c r="F155" s="633"/>
      <c r="G155" s="633"/>
      <c r="H155" s="633"/>
      <c r="I155" s="633"/>
      <c r="J155" s="698"/>
      <c r="K155" s="699"/>
      <c r="L155" s="699"/>
      <c r="M155" s="699"/>
      <c r="N155" s="699"/>
      <c r="O155" s="699"/>
      <c r="P155" s="699"/>
      <c r="Q155" s="699"/>
      <c r="R155" s="699"/>
      <c r="S155" s="699"/>
      <c r="T155" s="699"/>
      <c r="U155" s="699"/>
      <c r="V155" s="699"/>
      <c r="W155" s="699"/>
      <c r="X155" s="699"/>
      <c r="Y155" s="699"/>
      <c r="Z155" s="699"/>
      <c r="AA155" s="699"/>
      <c r="AB155" s="699"/>
      <c r="AC155" s="633"/>
      <c r="AD155" s="633"/>
      <c r="AE155" s="633"/>
      <c r="AF155" s="633"/>
      <c r="AG155" s="633"/>
      <c r="AH155" s="633"/>
      <c r="AI155" s="633"/>
      <c r="AJ155" s="633"/>
    </row>
    <row r="156" spans="1:36" x14ac:dyDescent="0.15">
      <c r="A156" s="633"/>
      <c r="C156" s="633"/>
      <c r="E156" s="633"/>
      <c r="F156" s="633"/>
      <c r="G156" s="633"/>
      <c r="H156" s="633"/>
      <c r="I156" s="633"/>
      <c r="J156" s="698"/>
      <c r="K156" s="699"/>
      <c r="L156" s="699"/>
      <c r="M156" s="699"/>
      <c r="N156" s="699"/>
      <c r="O156" s="699"/>
      <c r="P156" s="699"/>
      <c r="Q156" s="699"/>
      <c r="R156" s="699"/>
      <c r="S156" s="699"/>
      <c r="T156" s="699"/>
      <c r="U156" s="699"/>
      <c r="V156" s="699"/>
      <c r="W156" s="699"/>
      <c r="X156" s="699"/>
      <c r="Y156" s="699"/>
      <c r="Z156" s="699"/>
      <c r="AA156" s="699"/>
      <c r="AB156" s="699"/>
      <c r="AC156" s="633"/>
      <c r="AD156" s="633"/>
      <c r="AE156" s="633"/>
      <c r="AF156" s="633"/>
      <c r="AG156" s="633"/>
      <c r="AH156" s="633"/>
      <c r="AI156" s="633"/>
      <c r="AJ156" s="633"/>
    </row>
    <row r="157" spans="1:36" s="229" customFormat="1" hidden="1" x14ac:dyDescent="0.15">
      <c r="A157" s="870" t="s">
        <v>244</v>
      </c>
      <c r="B157" s="870"/>
      <c r="C157" s="870"/>
      <c r="D157" s="870"/>
      <c r="E157" s="870"/>
      <c r="F157" s="870"/>
      <c r="G157" s="870"/>
      <c r="H157" s="870"/>
      <c r="I157" s="870"/>
      <c r="J157" s="870"/>
      <c r="K157" s="870"/>
      <c r="L157" s="870"/>
      <c r="M157" s="870"/>
      <c r="N157" s="870"/>
      <c r="O157" s="870"/>
      <c r="P157" s="230"/>
      <c r="Q157" s="230"/>
      <c r="R157" s="230"/>
      <c r="S157" s="230"/>
      <c r="T157" s="230"/>
      <c r="U157" s="230"/>
      <c r="V157" s="700"/>
      <c r="W157" s="700"/>
      <c r="X157" s="700"/>
      <c r="Y157" s="700"/>
      <c r="Z157" s="700"/>
      <c r="AA157" s="700"/>
      <c r="AB157" s="700"/>
      <c r="AC157" s="700"/>
      <c r="AD157" s="700"/>
      <c r="AE157" s="700"/>
      <c r="AF157" s="700"/>
      <c r="AG157" s="700"/>
      <c r="AH157" s="700"/>
      <c r="AI157" s="700"/>
      <c r="AJ157" s="700"/>
    </row>
    <row r="158" spans="1:36" hidden="1" x14ac:dyDescent="0.15">
      <c r="A158" s="633"/>
      <c r="C158" s="633"/>
      <c r="E158" s="633"/>
      <c r="F158" s="15"/>
      <c r="G158" s="15"/>
      <c r="H158" s="633"/>
      <c r="I158" s="633"/>
      <c r="J158" s="15"/>
      <c r="K158" s="15"/>
      <c r="L158" s="15"/>
      <c r="M158" s="15"/>
      <c r="N158" s="15"/>
      <c r="O158" s="15"/>
      <c r="P158" s="15"/>
      <c r="Q158" s="15"/>
      <c r="R158" s="15"/>
      <c r="S158" s="15"/>
      <c r="T158" s="15"/>
      <c r="U158" s="15"/>
      <c r="V158" s="633"/>
      <c r="W158" s="633"/>
      <c r="X158" s="633"/>
      <c r="Y158" s="633"/>
      <c r="Z158" s="633"/>
      <c r="AA158" s="633"/>
      <c r="AB158" s="633"/>
      <c r="AC158" s="633"/>
      <c r="AD158" s="633"/>
      <c r="AE158" s="633"/>
      <c r="AF158" s="633"/>
      <c r="AG158" s="633"/>
      <c r="AH158" s="633"/>
      <c r="AI158" s="633"/>
      <c r="AJ158" s="633"/>
    </row>
    <row r="159" spans="1:36" ht="15" hidden="1" x14ac:dyDescent="0.2">
      <c r="A159" s="633"/>
      <c r="C159" s="872" t="s">
        <v>245</v>
      </c>
      <c r="D159" s="872"/>
      <c r="E159" s="872"/>
      <c r="F159" s="15"/>
      <c r="G159" s="633"/>
      <c r="H159" s="373" t="s">
        <v>246</v>
      </c>
      <c r="I159" s="374">
        <v>0.03</v>
      </c>
      <c r="J159" s="633"/>
      <c r="K159" s="633"/>
      <c r="L159" s="633"/>
      <c r="M159" s="633"/>
      <c r="N159" s="633"/>
      <c r="O159" s="633"/>
      <c r="P159" s="633"/>
      <c r="Q159" s="633"/>
      <c r="R159" s="633"/>
      <c r="S159" s="15"/>
      <c r="T159" s="15"/>
      <c r="U159" s="15"/>
      <c r="V159" s="633"/>
      <c r="W159" s="633"/>
      <c r="X159" s="633"/>
      <c r="Y159" s="633"/>
      <c r="Z159" s="633"/>
      <c r="AA159" s="633"/>
      <c r="AB159" s="633"/>
      <c r="AC159" s="633"/>
      <c r="AD159" s="633"/>
      <c r="AE159" s="633"/>
      <c r="AF159" s="633"/>
      <c r="AG159" s="633"/>
      <c r="AH159" s="633"/>
      <c r="AI159" s="633"/>
      <c r="AJ159" s="633"/>
    </row>
    <row r="160" spans="1:36" ht="14" hidden="1" thickBot="1" x14ac:dyDescent="0.2">
      <c r="A160" s="633"/>
      <c r="C160" s="633"/>
      <c r="D160" s="161" t="s">
        <v>247</v>
      </c>
      <c r="E160" s="162" t="s">
        <v>156</v>
      </c>
      <c r="F160" s="15"/>
      <c r="G160" s="633"/>
      <c r="H160" s="15"/>
      <c r="I160" s="15"/>
      <c r="J160" s="15"/>
      <c r="K160" s="633"/>
      <c r="L160" s="633"/>
      <c r="M160" s="633"/>
      <c r="N160" s="633"/>
      <c r="O160" s="633"/>
      <c r="P160" s="633"/>
      <c r="Q160" s="633"/>
      <c r="R160" s="633"/>
      <c r="S160" s="633"/>
      <c r="T160" s="633"/>
      <c r="U160" s="633"/>
      <c r="V160" s="633"/>
      <c r="W160" s="633"/>
      <c r="X160" s="633"/>
      <c r="Y160" s="633"/>
      <c r="Z160" s="633"/>
      <c r="AA160" s="633"/>
      <c r="AB160" s="633"/>
      <c r="AC160" s="633"/>
      <c r="AD160" s="633"/>
      <c r="AE160" s="633"/>
      <c r="AF160" s="633"/>
      <c r="AG160" s="633"/>
      <c r="AH160" s="633"/>
      <c r="AI160" s="633"/>
      <c r="AJ160" s="633"/>
    </row>
    <row r="161" spans="3:12" hidden="1" x14ac:dyDescent="0.15">
      <c r="C161" s="633" t="str">
        <f>+C43</f>
        <v>Net Rental Income</v>
      </c>
      <c r="D161" s="159">
        <f>+D31*NoOfSpaces*(1-G17)</f>
        <v>30360.000000000004</v>
      </c>
      <c r="E161" s="690">
        <f>+D161*12</f>
        <v>364320.00000000006</v>
      </c>
      <c r="F161" s="15"/>
      <c r="G161" s="633"/>
      <c r="H161" s="15"/>
      <c r="I161" s="15"/>
      <c r="J161" s="15"/>
      <c r="K161" s="15"/>
      <c r="L161" s="15"/>
    </row>
    <row r="162" spans="3:12" hidden="1" x14ac:dyDescent="0.15">
      <c r="C162" s="633" t="s">
        <v>155</v>
      </c>
      <c r="D162" s="160">
        <f>+D52/12</f>
        <v>6178.25</v>
      </c>
      <c r="E162" s="690">
        <f t="shared" ref="E162:E164" si="264">+D162*12</f>
        <v>74139</v>
      </c>
      <c r="F162" s="15"/>
      <c r="G162" s="633"/>
      <c r="H162" s="15"/>
      <c r="I162" s="15"/>
      <c r="J162" s="15"/>
      <c r="K162" s="15"/>
      <c r="L162" s="15"/>
    </row>
    <row r="163" spans="3:12" hidden="1" x14ac:dyDescent="0.15">
      <c r="C163" s="682" t="s">
        <v>248</v>
      </c>
      <c r="D163" s="160">
        <f>+E53/12</f>
        <v>0</v>
      </c>
      <c r="E163" s="690">
        <f t="shared" si="264"/>
        <v>0</v>
      </c>
      <c r="F163" s="15"/>
      <c r="G163" s="633"/>
      <c r="H163" s="633"/>
      <c r="I163" s="633"/>
      <c r="J163" s="633"/>
      <c r="K163" s="633"/>
      <c r="L163" s="633"/>
    </row>
    <row r="164" spans="3:12" hidden="1" x14ac:dyDescent="0.15">
      <c r="C164" s="682" t="s">
        <v>249</v>
      </c>
      <c r="D164" s="780">
        <f>SUM(D161:D163)</f>
        <v>36538.25</v>
      </c>
      <c r="E164" s="780">
        <f t="shared" si="264"/>
        <v>438459</v>
      </c>
      <c r="F164" s="633"/>
      <c r="G164" s="633"/>
      <c r="H164" s="633"/>
      <c r="I164" s="633"/>
      <c r="J164" s="633"/>
      <c r="K164" s="633"/>
      <c r="L164" s="633"/>
    </row>
    <row r="165" spans="3:12" hidden="1" x14ac:dyDescent="0.15">
      <c r="C165" s="633" t="s">
        <v>250</v>
      </c>
      <c r="D165" s="696">
        <f ca="1">+F82</f>
        <v>25146.359666666667</v>
      </c>
      <c r="E165" s="690">
        <f ca="1">+D165*12</f>
        <v>301756.31599999999</v>
      </c>
      <c r="F165" s="633"/>
      <c r="G165" s="633"/>
      <c r="H165" s="633"/>
      <c r="I165" s="633"/>
      <c r="J165" s="633"/>
      <c r="K165" s="633"/>
      <c r="L165" s="633"/>
    </row>
    <row r="166" spans="3:12" hidden="1" x14ac:dyDescent="0.15">
      <c r="C166" s="682" t="s">
        <v>251</v>
      </c>
      <c r="D166" s="781">
        <f ca="1">+D164-D165</f>
        <v>11391.890333333333</v>
      </c>
      <c r="E166" s="750">
        <f ca="1">+D166*12</f>
        <v>136702.68400000001</v>
      </c>
      <c r="F166" s="633"/>
      <c r="G166" s="376"/>
      <c r="H166" s="633"/>
      <c r="I166" s="633"/>
      <c r="J166" s="633"/>
      <c r="K166" s="633"/>
      <c r="L166" s="633"/>
    </row>
    <row r="167" spans="3:12" hidden="1" x14ac:dyDescent="0.15">
      <c r="C167" s="633" t="s">
        <v>90</v>
      </c>
      <c r="D167" s="633"/>
      <c r="E167" s="701">
        <f ca="1">E166/D8</f>
        <v>2.032753722253933E-2</v>
      </c>
      <c r="F167" s="633"/>
      <c r="G167" s="633"/>
      <c r="H167" s="633"/>
      <c r="I167" s="633"/>
      <c r="J167" s="633"/>
      <c r="K167" s="633"/>
      <c r="L167" s="633"/>
    </row>
    <row r="168" spans="3:12" hidden="1" x14ac:dyDescent="0.15">
      <c r="C168" s="633"/>
      <c r="D168" s="633"/>
      <c r="E168" s="633"/>
      <c r="F168" s="633"/>
      <c r="G168" s="633"/>
      <c r="H168" s="633"/>
      <c r="I168" s="633"/>
      <c r="J168" s="633"/>
      <c r="K168" s="633"/>
      <c r="L168" s="633"/>
    </row>
    <row r="169" spans="3:12" ht="15" hidden="1" x14ac:dyDescent="0.2">
      <c r="C169" s="872" t="s">
        <v>252</v>
      </c>
      <c r="D169" s="872"/>
      <c r="E169" s="872"/>
      <c r="F169" s="872"/>
      <c r="G169" s="633"/>
      <c r="H169" s="633"/>
      <c r="I169" s="633"/>
      <c r="J169" s="633"/>
      <c r="K169" s="633"/>
      <c r="L169" s="633"/>
    </row>
    <row r="170" spans="3:12" ht="14" hidden="1" thickBot="1" x14ac:dyDescent="0.2">
      <c r="C170" s="11"/>
      <c r="D170" s="702" t="s">
        <v>110</v>
      </c>
      <c r="E170" s="702" t="s">
        <v>111</v>
      </c>
      <c r="F170" s="702" t="s">
        <v>112</v>
      </c>
      <c r="G170" s="633"/>
      <c r="H170" s="633"/>
      <c r="I170" s="633"/>
      <c r="J170" s="633"/>
      <c r="K170" s="633"/>
      <c r="L170" s="633"/>
    </row>
    <row r="171" spans="3:12" hidden="1" x14ac:dyDescent="0.15">
      <c r="C171" s="633" t="s">
        <v>253</v>
      </c>
      <c r="D171" s="703">
        <f ca="1">E202</f>
        <v>5.249238483597507E-2</v>
      </c>
      <c r="E171" s="703">
        <f ca="1">E210</f>
        <v>0.16340193752461363</v>
      </c>
      <c r="F171" s="703">
        <f ca="1">E214</f>
        <v>0.13817529107490456</v>
      </c>
      <c r="G171" s="633"/>
      <c r="H171" s="633"/>
      <c r="I171" s="633"/>
      <c r="J171" s="633"/>
      <c r="K171" s="633"/>
      <c r="L171" s="633"/>
    </row>
    <row r="172" spans="3:12" hidden="1" x14ac:dyDescent="0.15">
      <c r="C172" s="633" t="s">
        <v>254</v>
      </c>
      <c r="D172" s="703">
        <f ca="1">E244</f>
        <v>4.9353307848799544E-2</v>
      </c>
      <c r="E172" s="703">
        <f ca="1">E293</f>
        <v>0.21708354580343658</v>
      </c>
      <c r="F172" s="703">
        <f ca="1">+E342</f>
        <v>0.20736257585727125</v>
      </c>
      <c r="G172" s="633"/>
      <c r="H172" s="633"/>
      <c r="I172" s="633"/>
      <c r="J172" s="633"/>
      <c r="K172" s="633"/>
      <c r="L172" s="633"/>
    </row>
    <row r="173" spans="3:12" hidden="1" x14ac:dyDescent="0.15">
      <c r="C173" s="633" t="s">
        <v>122</v>
      </c>
      <c r="D173" s="703">
        <f ca="1">+E261</f>
        <v>4.9353307848799544E-2</v>
      </c>
      <c r="E173" s="703">
        <f ca="1">+E310</f>
        <v>0.14602011071631016</v>
      </c>
      <c r="F173" s="703">
        <f ca="1">+E359</f>
        <v>0.15259219521377476</v>
      </c>
      <c r="G173" s="633"/>
      <c r="H173" s="633"/>
      <c r="I173" s="633"/>
      <c r="J173" s="633"/>
      <c r="K173" s="633"/>
      <c r="L173" s="633"/>
    </row>
    <row r="174" spans="3:12" ht="12.75" hidden="1" customHeight="1" x14ac:dyDescent="0.15">
      <c r="C174" s="633" t="s">
        <v>255</v>
      </c>
      <c r="D174" s="704" t="str">
        <f ca="1">+TEXT(E262,"0.0")&amp;"x"</f>
        <v>1.2x</v>
      </c>
      <c r="E174" s="704" t="str">
        <f ca="1">+TEXT(E311,"0.0")&amp;"x"</f>
        <v>1.9x</v>
      </c>
      <c r="F174" s="704" t="str">
        <f ca="1">+TEXT(E360,"0.0")&amp;"x"</f>
        <v>2.5x</v>
      </c>
      <c r="G174" s="633"/>
      <c r="H174" s="633"/>
      <c r="I174" s="633"/>
      <c r="J174" s="633"/>
      <c r="K174" s="633"/>
      <c r="L174" s="633"/>
    </row>
    <row r="175" spans="3:12" hidden="1" x14ac:dyDescent="0.15">
      <c r="C175" s="633" t="s">
        <v>256</v>
      </c>
      <c r="D175" s="643">
        <f ca="1">ROUND(E263,-3)</f>
        <v>4511000</v>
      </c>
      <c r="E175" s="643">
        <f ca="1">ROUND(E312,-3)</f>
        <v>7529000</v>
      </c>
      <c r="F175" s="643">
        <f ca="1">ROUND(E361,-3)</f>
        <v>9775000</v>
      </c>
      <c r="G175" s="376"/>
      <c r="H175" s="633"/>
      <c r="I175" s="633"/>
      <c r="J175" s="633"/>
      <c r="K175" s="633"/>
      <c r="L175" s="633"/>
    </row>
    <row r="176" spans="3:12" hidden="1" x14ac:dyDescent="0.15">
      <c r="C176" s="633" t="s">
        <v>129</v>
      </c>
      <c r="D176" s="643">
        <f ca="1">ROUND(SUM(F258:H258),-3)</f>
        <v>0</v>
      </c>
      <c r="E176" s="643">
        <f ca="1">ROUND(E313,-3)</f>
        <v>2604000</v>
      </c>
      <c r="F176" s="643">
        <f ca="1">ROUND(E362,-3)</f>
        <v>4850000</v>
      </c>
      <c r="G176" s="633"/>
      <c r="H176" s="633"/>
      <c r="I176" s="633"/>
      <c r="J176" s="633"/>
      <c r="K176" s="633"/>
      <c r="L176" s="633"/>
    </row>
    <row r="177" spans="3:21" hidden="1" x14ac:dyDescent="0.15">
      <c r="C177" s="633"/>
      <c r="D177" s="633"/>
      <c r="E177" s="633"/>
      <c r="F177" s="633"/>
      <c r="G177" s="633"/>
      <c r="H177" s="633"/>
      <c r="I177" s="633"/>
      <c r="J177" s="633"/>
      <c r="K177" s="633"/>
      <c r="L177" s="633"/>
      <c r="M177" s="633"/>
      <c r="N177" s="633"/>
      <c r="O177" s="633"/>
      <c r="P177" s="633"/>
      <c r="Q177" s="633"/>
      <c r="R177" s="633"/>
      <c r="S177" s="633"/>
      <c r="T177" s="633"/>
      <c r="U177" s="633"/>
    </row>
    <row r="178" spans="3:21" hidden="1" x14ac:dyDescent="0.15">
      <c r="C178" s="871"/>
      <c r="D178" s="871"/>
      <c r="E178" s="633"/>
      <c r="F178" s="15"/>
      <c r="G178" s="633"/>
      <c r="H178" s="633"/>
      <c r="I178" s="633"/>
      <c r="J178" s="633"/>
      <c r="K178" s="633"/>
      <c r="L178" s="633"/>
      <c r="M178" s="633"/>
      <c r="N178" s="633"/>
      <c r="O178" s="633"/>
      <c r="P178" s="633"/>
      <c r="Q178" s="633"/>
      <c r="R178" s="633"/>
      <c r="S178" s="633"/>
      <c r="T178" s="633"/>
      <c r="U178" s="633"/>
    </row>
    <row r="179" spans="3:21" hidden="1" x14ac:dyDescent="0.15">
      <c r="C179" s="633"/>
      <c r="D179" s="682"/>
      <c r="E179" s="633"/>
      <c r="F179" s="15"/>
      <c r="G179" s="633"/>
      <c r="H179" s="633"/>
      <c r="I179" s="633"/>
      <c r="J179" s="633"/>
      <c r="K179" s="633"/>
      <c r="L179" s="633"/>
      <c r="M179" s="633"/>
      <c r="N179" s="633"/>
      <c r="O179" s="633"/>
      <c r="P179" s="633"/>
      <c r="Q179" s="633"/>
      <c r="R179" s="633"/>
      <c r="S179" s="633"/>
      <c r="T179" s="633"/>
      <c r="U179" s="633"/>
    </row>
    <row r="180" spans="3:21" hidden="1" x14ac:dyDescent="0.15">
      <c r="C180" s="633"/>
      <c r="D180" s="633"/>
      <c r="E180" s="633"/>
      <c r="F180" s="15"/>
      <c r="G180" s="15"/>
      <c r="H180" s="633"/>
      <c r="I180" s="633"/>
      <c r="J180" s="633"/>
      <c r="K180" s="633"/>
      <c r="L180" s="633"/>
      <c r="M180" s="633"/>
      <c r="N180" s="633"/>
      <c r="O180" s="633"/>
      <c r="P180" s="633"/>
      <c r="Q180" s="633"/>
      <c r="R180" s="633"/>
      <c r="S180" s="633"/>
      <c r="T180" s="633"/>
      <c r="U180" s="633"/>
    </row>
    <row r="181" spans="3:21" hidden="1" x14ac:dyDescent="0.15">
      <c r="C181" s="633"/>
      <c r="D181" s="633"/>
      <c r="E181" s="633"/>
      <c r="F181" s="15"/>
      <c r="G181" s="15"/>
      <c r="H181" s="15"/>
      <c r="I181" s="15"/>
      <c r="J181" s="15"/>
      <c r="K181" s="15"/>
      <c r="L181" s="15"/>
      <c r="M181" s="633"/>
      <c r="N181" s="633"/>
      <c r="O181" s="633"/>
      <c r="P181" s="633"/>
      <c r="Q181" s="633"/>
      <c r="R181" s="633"/>
      <c r="S181" s="633"/>
      <c r="T181" s="633"/>
      <c r="U181" s="633"/>
    </row>
    <row r="182" spans="3:21" hidden="1" x14ac:dyDescent="0.15">
      <c r="C182" s="633"/>
      <c r="D182" s="633"/>
      <c r="E182" s="633"/>
      <c r="F182" s="15"/>
      <c r="G182" s="15"/>
      <c r="H182" s="15"/>
      <c r="I182" s="15"/>
      <c r="J182" s="15"/>
      <c r="K182" s="15"/>
      <c r="L182" s="15"/>
      <c r="M182" s="633"/>
      <c r="N182" s="633"/>
      <c r="O182" s="633"/>
      <c r="P182" s="633"/>
      <c r="Q182" s="633"/>
      <c r="R182" s="633"/>
      <c r="S182" s="633"/>
      <c r="T182" s="633"/>
      <c r="U182" s="633"/>
    </row>
    <row r="183" spans="3:21" hidden="1" x14ac:dyDescent="0.15">
      <c r="C183" s="633"/>
      <c r="D183" s="633"/>
      <c r="E183" s="633"/>
      <c r="F183" s="15"/>
      <c r="G183" s="15"/>
      <c r="H183" s="15"/>
      <c r="I183" s="15"/>
      <c r="J183" s="15"/>
      <c r="K183" s="15"/>
      <c r="L183" s="15"/>
      <c r="M183" s="633"/>
      <c r="N183" s="633"/>
      <c r="O183" s="633"/>
      <c r="P183" s="633"/>
      <c r="Q183" s="633"/>
      <c r="R183" s="633"/>
      <c r="S183" s="633"/>
      <c r="T183" s="633"/>
      <c r="U183" s="633"/>
    </row>
    <row r="184" spans="3:21" hidden="1" x14ac:dyDescent="0.15">
      <c r="C184" s="633"/>
      <c r="D184" s="633"/>
      <c r="E184" s="633"/>
      <c r="F184" s="15"/>
      <c r="G184" s="15"/>
      <c r="H184" s="15"/>
      <c r="I184" s="15"/>
      <c r="J184" s="15"/>
      <c r="K184" s="15"/>
      <c r="L184" s="15"/>
      <c r="M184" s="633"/>
      <c r="N184" s="633"/>
      <c r="O184" s="633"/>
      <c r="P184" s="633"/>
      <c r="Q184" s="633"/>
      <c r="R184" s="633"/>
      <c r="S184" s="633"/>
      <c r="T184" s="633"/>
      <c r="U184" s="633"/>
    </row>
    <row r="185" spans="3:21" hidden="1" x14ac:dyDescent="0.15">
      <c r="C185" s="633"/>
      <c r="D185" s="633"/>
      <c r="E185" s="633"/>
      <c r="F185" s="15"/>
      <c r="G185" s="15"/>
      <c r="H185" s="15"/>
      <c r="I185" s="15"/>
      <c r="J185" s="15"/>
      <c r="K185" s="15"/>
      <c r="L185" s="15"/>
      <c r="M185" s="633"/>
      <c r="N185" s="633"/>
      <c r="O185" s="633"/>
      <c r="P185" s="633"/>
      <c r="Q185" s="633"/>
      <c r="R185" s="633"/>
      <c r="S185" s="633"/>
      <c r="T185" s="633"/>
      <c r="U185" s="633"/>
    </row>
    <row r="186" spans="3:21" hidden="1" x14ac:dyDescent="0.15">
      <c r="C186" s="633"/>
      <c r="D186" s="633"/>
      <c r="E186" s="633"/>
      <c r="F186" s="15"/>
      <c r="G186" s="15"/>
      <c r="H186" s="15"/>
      <c r="I186" s="15"/>
      <c r="J186" s="15"/>
      <c r="K186" s="15"/>
      <c r="L186" s="15"/>
      <c r="M186" s="633"/>
      <c r="N186" s="633"/>
      <c r="O186" s="633"/>
      <c r="P186" s="633"/>
      <c r="Q186" s="633"/>
      <c r="R186" s="633"/>
      <c r="S186" s="633"/>
      <c r="T186" s="633"/>
      <c r="U186" s="633"/>
    </row>
    <row r="187" spans="3:21" hidden="1" x14ac:dyDescent="0.15">
      <c r="C187" s="633"/>
      <c r="D187" s="633"/>
      <c r="E187" s="633"/>
      <c r="F187" s="15"/>
      <c r="G187" s="15"/>
      <c r="H187" s="339"/>
      <c r="I187" s="643"/>
      <c r="J187" s="643"/>
      <c r="K187" s="705"/>
      <c r="L187" s="643"/>
      <c r="M187" s="706"/>
      <c r="N187" s="643"/>
      <c r="O187" s="684"/>
      <c r="P187" s="684"/>
      <c r="Q187" s="15"/>
      <c r="R187" s="15"/>
      <c r="S187" s="15"/>
      <c r="T187" s="15"/>
      <c r="U187" s="15"/>
    </row>
    <row r="188" spans="3:21" hidden="1" x14ac:dyDescent="0.15">
      <c r="C188" s="633"/>
      <c r="D188" s="633"/>
      <c r="E188" s="633"/>
      <c r="F188" s="15"/>
      <c r="G188" s="15"/>
      <c r="H188" s="339"/>
      <c r="I188" s="643"/>
      <c r="J188" s="643"/>
      <c r="K188" s="705"/>
      <c r="L188" s="643"/>
      <c r="M188" s="706"/>
      <c r="N188" s="643"/>
      <c r="O188" s="684"/>
      <c r="P188" s="684"/>
      <c r="Q188" s="15"/>
      <c r="R188" s="15"/>
      <c r="S188" s="15"/>
      <c r="T188" s="15"/>
      <c r="U188" s="15"/>
    </row>
    <row r="189" spans="3:21" hidden="1" x14ac:dyDescent="0.15">
      <c r="C189" s="633"/>
      <c r="D189" s="633"/>
      <c r="E189" s="633"/>
      <c r="F189" s="15"/>
      <c r="G189" s="15"/>
      <c r="H189" s="339"/>
      <c r="I189" s="643"/>
      <c r="J189" s="643"/>
      <c r="K189" s="705"/>
      <c r="L189" s="643"/>
      <c r="M189" s="706"/>
      <c r="N189" s="643"/>
      <c r="O189" s="684"/>
      <c r="P189" s="684"/>
      <c r="Q189" s="15"/>
      <c r="R189" s="15"/>
      <c r="S189" s="15"/>
      <c r="T189" s="15"/>
      <c r="U189" s="15"/>
    </row>
    <row r="190" spans="3:21" hidden="1" x14ac:dyDescent="0.15">
      <c r="C190" s="633"/>
      <c r="D190" s="633"/>
      <c r="E190" s="633"/>
      <c r="F190" s="15"/>
      <c r="G190" s="15"/>
      <c r="H190" s="339"/>
      <c r="I190" s="643"/>
      <c r="J190" s="643"/>
      <c r="K190" s="705"/>
      <c r="L190" s="643"/>
      <c r="M190" s="706"/>
      <c r="N190" s="643"/>
      <c r="O190" s="684"/>
      <c r="P190" s="684"/>
      <c r="Q190" s="15"/>
      <c r="R190" s="15"/>
      <c r="S190" s="15"/>
      <c r="T190" s="15"/>
      <c r="U190" s="15"/>
    </row>
    <row r="191" spans="3:21" hidden="1" x14ac:dyDescent="0.15">
      <c r="C191" s="633"/>
      <c r="D191" s="633"/>
      <c r="E191" s="633"/>
      <c r="F191" s="15"/>
      <c r="G191" s="15"/>
      <c r="H191" s="339"/>
      <c r="I191" s="643"/>
      <c r="J191" s="643"/>
      <c r="K191" s="705"/>
      <c r="L191" s="643"/>
      <c r="M191" s="706"/>
      <c r="N191" s="643"/>
      <c r="O191" s="684"/>
      <c r="P191" s="684"/>
      <c r="Q191" s="15"/>
      <c r="R191" s="15"/>
      <c r="S191" s="15"/>
      <c r="T191" s="15"/>
      <c r="U191" s="15"/>
    </row>
    <row r="192" spans="3:21" ht="15" hidden="1" x14ac:dyDescent="0.2">
      <c r="C192" s="868" t="s">
        <v>257</v>
      </c>
      <c r="D192" s="868"/>
      <c r="E192" s="868"/>
      <c r="F192" s="868"/>
      <c r="G192" s="868"/>
      <c r="H192" s="868"/>
      <c r="I192" s="868"/>
      <c r="J192" s="868"/>
      <c r="K192" s="868"/>
      <c r="L192" s="868"/>
      <c r="M192" s="868"/>
      <c r="N192" s="868"/>
      <c r="O192" s="868"/>
      <c r="P192" s="15"/>
      <c r="Q192" s="633"/>
      <c r="R192" s="633"/>
      <c r="S192" s="633"/>
      <c r="T192" s="633"/>
      <c r="U192" s="633"/>
    </row>
    <row r="193" spans="3:16" hidden="1" x14ac:dyDescent="0.15">
      <c r="C193" s="633"/>
      <c r="D193" s="633"/>
      <c r="E193" s="633"/>
      <c r="F193" s="313">
        <v>1</v>
      </c>
      <c r="G193" s="313">
        <v>2</v>
      </c>
      <c r="H193" s="313">
        <v>3</v>
      </c>
      <c r="I193" s="313">
        <v>4</v>
      </c>
      <c r="J193" s="313">
        <v>5</v>
      </c>
      <c r="K193" s="313">
        <v>6</v>
      </c>
      <c r="L193" s="313">
        <v>7</v>
      </c>
      <c r="M193" s="313">
        <v>8</v>
      </c>
      <c r="N193" s="313">
        <v>9</v>
      </c>
      <c r="O193" s="313">
        <v>10</v>
      </c>
      <c r="P193" s="313"/>
    </row>
    <row r="194" spans="3:16" hidden="1" x14ac:dyDescent="0.15">
      <c r="C194" s="633" t="s">
        <v>127</v>
      </c>
      <c r="D194" s="633"/>
      <c r="E194" s="633"/>
      <c r="F194" s="13">
        <f t="shared" ref="F194:O194" ca="1" si="265">F87</f>
        <v>152637.00400000002</v>
      </c>
      <c r="G194" s="13">
        <f t="shared" ca="1" si="265"/>
        <v>262199.86199999996</v>
      </c>
      <c r="H194" s="13">
        <f t="shared" ca="1" si="265"/>
        <v>387639.27815999999</v>
      </c>
      <c r="I194" s="13">
        <f t="shared" ca="1" si="265"/>
        <v>519434.58364319993</v>
      </c>
      <c r="J194" s="13">
        <f t="shared" ca="1" si="265"/>
        <v>651211.47623606387</v>
      </c>
      <c r="K194" s="13">
        <f t="shared" ca="1" si="265"/>
        <v>681775.94184078532</v>
      </c>
      <c r="L194" s="13">
        <f t="shared" ca="1" si="265"/>
        <v>713653.30620080105</v>
      </c>
      <c r="M194" s="13">
        <f t="shared" ca="1" si="265"/>
        <v>746897.89166894485</v>
      </c>
      <c r="N194" s="13">
        <f t="shared" ca="1" si="265"/>
        <v>781566.22962021711</v>
      </c>
      <c r="O194" s="13">
        <f t="shared" ca="1" si="265"/>
        <v>817717.14953523013</v>
      </c>
      <c r="P194" s="13"/>
    </row>
    <row r="195" spans="3:16" hidden="1" x14ac:dyDescent="0.15">
      <c r="C195" s="633" t="s">
        <v>258</v>
      </c>
      <c r="D195" s="633"/>
      <c r="E195" s="633"/>
      <c r="F195" s="15">
        <f t="shared" ref="F195:O195" si="266">SUM(F107:F110)</f>
        <v>54225.599999999999</v>
      </c>
      <c r="G195" s="15">
        <f t="shared" si="266"/>
        <v>54225.599999999999</v>
      </c>
      <c r="H195" s="15">
        <f t="shared" si="266"/>
        <v>54225.599999999999</v>
      </c>
      <c r="I195" s="15">
        <f t="shared" si="266"/>
        <v>54225.599999999999</v>
      </c>
      <c r="J195" s="15">
        <f t="shared" si="266"/>
        <v>54225.599999999999</v>
      </c>
      <c r="K195" s="15">
        <f t="shared" si="266"/>
        <v>0</v>
      </c>
      <c r="L195" s="15">
        <f t="shared" si="266"/>
        <v>0</v>
      </c>
      <c r="M195" s="15">
        <f t="shared" si="266"/>
        <v>0</v>
      </c>
      <c r="N195" s="15">
        <f t="shared" si="266"/>
        <v>0</v>
      </c>
      <c r="O195" s="15">
        <f t="shared" si="266"/>
        <v>0</v>
      </c>
      <c r="P195" s="15"/>
    </row>
    <row r="196" spans="3:16" hidden="1" x14ac:dyDescent="0.15">
      <c r="C196" s="633"/>
      <c r="D196" s="633"/>
      <c r="E196" s="633"/>
      <c r="F196" s="15"/>
      <c r="G196" s="15"/>
      <c r="H196" s="15"/>
      <c r="I196" s="15"/>
      <c r="J196" s="15"/>
      <c r="K196" s="15"/>
      <c r="L196" s="15"/>
      <c r="M196" s="15"/>
      <c r="N196" s="15"/>
      <c r="O196" s="15"/>
      <c r="P196" s="15"/>
    </row>
    <row r="197" spans="3:16" hidden="1" x14ac:dyDescent="0.15">
      <c r="C197" s="633" t="s">
        <v>259</v>
      </c>
      <c r="D197" s="633"/>
      <c r="E197" s="633"/>
      <c r="F197" s="15"/>
      <c r="G197" s="15"/>
      <c r="H197" s="375">
        <f ca="1">(H194/RefiCap)*(1-Cost_of_Sale)</f>
        <v>6836547.269367272</v>
      </c>
      <c r="I197" s="15"/>
      <c r="J197" s="15"/>
      <c r="K197" s="15"/>
      <c r="L197" s="15"/>
      <c r="M197" s="15"/>
      <c r="N197" s="15"/>
      <c r="O197" s="15"/>
      <c r="P197" s="15"/>
    </row>
    <row r="198" spans="3:16" hidden="1" x14ac:dyDescent="0.15">
      <c r="C198" s="633"/>
      <c r="D198" s="633"/>
      <c r="E198" s="633"/>
      <c r="F198" s="15"/>
      <c r="G198" s="15"/>
      <c r="H198" s="15"/>
      <c r="I198" s="15"/>
      <c r="J198" s="15"/>
      <c r="K198" s="15"/>
      <c r="L198" s="15"/>
      <c r="M198" s="15"/>
      <c r="N198" s="15"/>
      <c r="O198" s="15"/>
      <c r="P198" s="15"/>
    </row>
    <row r="199" spans="3:16" hidden="1" x14ac:dyDescent="0.15">
      <c r="C199" s="633"/>
      <c r="D199" s="633"/>
      <c r="E199" s="633"/>
      <c r="F199" s="15"/>
      <c r="G199" s="15"/>
      <c r="H199" s="15"/>
      <c r="I199" s="15"/>
      <c r="J199" s="15"/>
      <c r="K199" s="15"/>
      <c r="L199" s="15"/>
      <c r="M199" s="15"/>
      <c r="N199" s="15"/>
      <c r="O199" s="15"/>
      <c r="P199" s="15"/>
    </row>
    <row r="200" spans="3:16" hidden="1" x14ac:dyDescent="0.15">
      <c r="C200" s="633"/>
      <c r="D200" s="633"/>
      <c r="E200" s="633"/>
      <c r="F200" s="15"/>
      <c r="G200" s="15"/>
      <c r="H200" s="15"/>
      <c r="I200" s="15"/>
      <c r="J200" s="15"/>
      <c r="K200" s="15"/>
      <c r="L200" s="15"/>
      <c r="M200" s="15"/>
      <c r="N200" s="15"/>
      <c r="O200" s="15"/>
      <c r="P200" s="15"/>
    </row>
    <row r="201" spans="3:16" hidden="1" x14ac:dyDescent="0.15">
      <c r="C201" s="633" t="s">
        <v>260</v>
      </c>
      <c r="D201" s="633"/>
      <c r="E201" s="696">
        <f>-D8</f>
        <v>-6724999.8119999999</v>
      </c>
      <c r="F201" s="13">
        <f ca="1">SUM(F194:F197)</f>
        <v>206862.60400000002</v>
      </c>
      <c r="G201" s="13">
        <f t="shared" ref="G201:H201" ca="1" si="267">SUM(G194:G197)</f>
        <v>316425.46199999994</v>
      </c>
      <c r="H201" s="13">
        <f t="shared" ca="1" si="267"/>
        <v>7278412.1475272719</v>
      </c>
      <c r="I201" s="15"/>
      <c r="J201" s="15"/>
      <c r="K201" s="15"/>
      <c r="L201" s="15"/>
      <c r="M201" s="15"/>
      <c r="N201" s="15"/>
      <c r="O201" s="15"/>
      <c r="P201" s="15"/>
    </row>
    <row r="202" spans="3:16" hidden="1" x14ac:dyDescent="0.15">
      <c r="C202" s="633" t="s">
        <v>261</v>
      </c>
      <c r="D202" s="633"/>
      <c r="E202" s="697">
        <f ca="1">IRR(E201:H201)</f>
        <v>5.249238483597507E-2</v>
      </c>
      <c r="F202" s="15"/>
      <c r="G202" s="15"/>
      <c r="H202" s="15"/>
      <c r="I202" s="15"/>
      <c r="J202" s="15"/>
      <c r="K202" s="15"/>
      <c r="L202" s="15"/>
      <c r="M202" s="15"/>
      <c r="N202" s="15"/>
      <c r="O202" s="15"/>
      <c r="P202" s="15"/>
    </row>
    <row r="203" spans="3:16" hidden="1" x14ac:dyDescent="0.15">
      <c r="C203" s="633"/>
      <c r="D203" s="633"/>
      <c r="E203" s="697"/>
      <c r="F203" s="15"/>
      <c r="G203" s="15"/>
      <c r="H203" s="15"/>
      <c r="I203" s="15"/>
      <c r="J203" s="15"/>
      <c r="K203" s="15"/>
      <c r="L203" s="15"/>
      <c r="M203" s="15"/>
      <c r="N203" s="15"/>
      <c r="O203" s="15"/>
      <c r="P203" s="15"/>
    </row>
    <row r="204" spans="3:16" hidden="1" x14ac:dyDescent="0.15">
      <c r="C204" s="633"/>
      <c r="D204" s="633"/>
      <c r="E204" s="697"/>
      <c r="F204" s="15"/>
      <c r="G204" s="15"/>
      <c r="H204" s="15"/>
      <c r="I204" s="15"/>
      <c r="J204" s="15"/>
      <c r="K204" s="15"/>
      <c r="L204" s="15"/>
      <c r="M204" s="15"/>
      <c r="N204" s="15"/>
      <c r="O204" s="15"/>
      <c r="P204" s="15"/>
    </row>
    <row r="205" spans="3:16" hidden="1" x14ac:dyDescent="0.15">
      <c r="C205" s="633"/>
      <c r="D205" s="633"/>
      <c r="E205" s="697"/>
      <c r="F205" s="15"/>
      <c r="G205" s="15"/>
      <c r="H205" s="15"/>
      <c r="I205" s="15"/>
      <c r="J205" s="15"/>
      <c r="K205" s="15"/>
      <c r="L205" s="15"/>
      <c r="M205" s="15"/>
      <c r="N205" s="15"/>
      <c r="O205" s="15"/>
      <c r="P205" s="15"/>
    </row>
    <row r="206" spans="3:16" hidden="1" x14ac:dyDescent="0.15">
      <c r="C206" s="633"/>
      <c r="D206" s="633"/>
      <c r="E206" s="697"/>
      <c r="F206" s="15"/>
      <c r="G206" s="15"/>
      <c r="H206" s="15"/>
      <c r="I206" s="15"/>
      <c r="J206" s="15"/>
      <c r="K206" s="15"/>
      <c r="L206" s="15"/>
      <c r="M206" s="15"/>
      <c r="N206" s="15"/>
      <c r="O206" s="15"/>
      <c r="P206" s="15"/>
    </row>
    <row r="207" spans="3:16" hidden="1" x14ac:dyDescent="0.15">
      <c r="C207" s="633"/>
      <c r="D207" s="633"/>
      <c r="E207" s="633"/>
      <c r="F207" s="15"/>
      <c r="G207" s="15"/>
      <c r="H207" s="15"/>
      <c r="I207" s="15"/>
      <c r="J207" s="15"/>
      <c r="K207" s="15"/>
      <c r="L207" s="15"/>
      <c r="M207" s="15"/>
      <c r="N207" s="15"/>
      <c r="O207" s="15"/>
      <c r="P207" s="15"/>
    </row>
    <row r="208" spans="3:16" hidden="1" x14ac:dyDescent="0.15">
      <c r="C208" s="633" t="s">
        <v>262</v>
      </c>
      <c r="D208" s="633"/>
      <c r="E208" s="633"/>
      <c r="F208" s="15"/>
      <c r="G208" s="15"/>
      <c r="H208" s="15"/>
      <c r="I208" s="15"/>
      <c r="J208" s="375">
        <f ca="1">(J194/RefiCap)*(1-Cost_of_Sale)</f>
        <v>11485002.399072399</v>
      </c>
      <c r="K208" s="15"/>
      <c r="L208" s="15"/>
      <c r="M208" s="15"/>
      <c r="N208" s="15"/>
      <c r="O208" s="15"/>
      <c r="P208" s="15"/>
    </row>
    <row r="209" spans="3:16" hidden="1" x14ac:dyDescent="0.15">
      <c r="C209" s="633" t="s">
        <v>263</v>
      </c>
      <c r="D209" s="633"/>
      <c r="E209" s="696">
        <f>E201</f>
        <v>-6724999.8119999999</v>
      </c>
      <c r="F209" s="13">
        <f ca="1">SUM(F194:F195,F208)</f>
        <v>206862.60400000002</v>
      </c>
      <c r="G209" s="13">
        <f t="shared" ref="G209:J209" ca="1" si="268">SUM(G194:G195,G208)</f>
        <v>316425.46199999994</v>
      </c>
      <c r="H209" s="13">
        <f t="shared" ca="1" si="268"/>
        <v>441864.87815999996</v>
      </c>
      <c r="I209" s="13">
        <f t="shared" ca="1" si="268"/>
        <v>573660.18364319997</v>
      </c>
      <c r="J209" s="13">
        <f t="shared" ca="1" si="268"/>
        <v>12190439.475308463</v>
      </c>
      <c r="K209" s="15"/>
      <c r="L209" s="15"/>
      <c r="M209" s="15"/>
      <c r="N209" s="15"/>
      <c r="O209" s="15"/>
      <c r="P209" s="15"/>
    </row>
    <row r="210" spans="3:16" hidden="1" x14ac:dyDescent="0.15">
      <c r="C210" s="633" t="s">
        <v>264</v>
      </c>
      <c r="D210" s="633"/>
      <c r="E210" s="688">
        <f ca="1">IRR(E209:J209)</f>
        <v>0.16340193752461363</v>
      </c>
      <c r="F210" s="15"/>
      <c r="G210" s="15"/>
      <c r="H210" s="15"/>
      <c r="I210" s="15"/>
      <c r="J210" s="15"/>
      <c r="K210" s="15"/>
      <c r="L210" s="338"/>
      <c r="M210" s="15"/>
      <c r="N210" s="15"/>
      <c r="O210" s="15"/>
      <c r="P210" s="15"/>
    </row>
    <row r="211" spans="3:16" hidden="1" x14ac:dyDescent="0.15">
      <c r="C211" s="633"/>
      <c r="D211" s="633"/>
      <c r="E211" s="633"/>
      <c r="F211" s="15"/>
      <c r="G211" s="15"/>
      <c r="H211" s="15"/>
      <c r="I211" s="15"/>
      <c r="J211" s="15"/>
      <c r="K211" s="15"/>
      <c r="L211" s="15"/>
      <c r="M211" s="15"/>
      <c r="N211" s="15"/>
      <c r="O211" s="15"/>
      <c r="P211" s="15"/>
    </row>
    <row r="212" spans="3:16" hidden="1" x14ac:dyDescent="0.15">
      <c r="C212" s="633" t="s">
        <v>265</v>
      </c>
      <c r="D212" s="633"/>
      <c r="E212" s="633"/>
      <c r="F212" s="15"/>
      <c r="G212" s="15"/>
      <c r="H212" s="15"/>
      <c r="I212" s="15"/>
      <c r="J212" s="13">
        <f>J198/RefiCap</f>
        <v>0</v>
      </c>
      <c r="K212" s="15"/>
      <c r="L212" s="15"/>
      <c r="M212" s="15"/>
      <c r="N212" s="15"/>
      <c r="O212" s="375">
        <f ca="1">(O194/RefiCap)*(1-Cost_of_Sale)</f>
        <v>14421557.000894058</v>
      </c>
      <c r="P212" s="15"/>
    </row>
    <row r="213" spans="3:16" hidden="1" x14ac:dyDescent="0.15">
      <c r="C213" s="633" t="s">
        <v>266</v>
      </c>
      <c r="D213" s="633"/>
      <c r="E213" s="696">
        <f>E209</f>
        <v>-6724999.8119999999</v>
      </c>
      <c r="F213" s="13">
        <f ca="1">SUM(F194:F195,F212)</f>
        <v>206862.60400000002</v>
      </c>
      <c r="G213" s="13">
        <f t="shared" ref="G213:O213" ca="1" si="269">SUM(G194:G195,G212)</f>
        <v>316425.46199999994</v>
      </c>
      <c r="H213" s="13">
        <f t="shared" ca="1" si="269"/>
        <v>441864.87815999996</v>
      </c>
      <c r="I213" s="13">
        <f t="shared" ca="1" si="269"/>
        <v>573660.18364319997</v>
      </c>
      <c r="J213" s="13">
        <f t="shared" ca="1" si="269"/>
        <v>705437.07623606385</v>
      </c>
      <c r="K213" s="13">
        <f t="shared" ca="1" si="269"/>
        <v>681775.94184078532</v>
      </c>
      <c r="L213" s="13">
        <f t="shared" ca="1" si="269"/>
        <v>713653.30620080105</v>
      </c>
      <c r="M213" s="13">
        <f t="shared" ca="1" si="269"/>
        <v>746897.89166894485</v>
      </c>
      <c r="N213" s="13">
        <f t="shared" ca="1" si="269"/>
        <v>781566.22962021711</v>
      </c>
      <c r="O213" s="13">
        <f t="shared" ca="1" si="269"/>
        <v>15239274.150429288</v>
      </c>
      <c r="P213" s="15"/>
    </row>
    <row r="214" spans="3:16" hidden="1" x14ac:dyDescent="0.15">
      <c r="C214" s="633" t="s">
        <v>267</v>
      </c>
      <c r="D214" s="633"/>
      <c r="E214" s="697">
        <f ca="1">IRR(E213:O213)</f>
        <v>0.13817529107490456</v>
      </c>
      <c r="F214" s="15"/>
      <c r="G214" s="15"/>
      <c r="H214" s="15"/>
      <c r="I214" s="15"/>
      <c r="J214" s="15"/>
      <c r="K214" s="15"/>
      <c r="L214" s="15"/>
      <c r="M214" s="15"/>
      <c r="N214" s="15"/>
      <c r="O214" s="15"/>
      <c r="P214" s="15"/>
    </row>
    <row r="215" spans="3:16" hidden="1" x14ac:dyDescent="0.15">
      <c r="C215" s="633"/>
      <c r="D215" s="633"/>
      <c r="E215" s="633"/>
      <c r="F215" s="15"/>
      <c r="G215" s="15"/>
      <c r="H215" s="15"/>
      <c r="I215" s="15"/>
      <c r="J215" s="15"/>
      <c r="K215" s="15"/>
      <c r="L215" s="15"/>
      <c r="M215" s="15"/>
      <c r="N215" s="15"/>
      <c r="O215" s="15"/>
      <c r="P215" s="15"/>
    </row>
    <row r="216" spans="3:16" hidden="1" x14ac:dyDescent="0.15">
      <c r="C216" s="633"/>
      <c r="D216" s="633"/>
      <c r="E216" s="633"/>
      <c r="F216" s="15"/>
      <c r="G216" s="15"/>
      <c r="H216" s="15"/>
      <c r="I216" s="15"/>
      <c r="J216" s="15"/>
      <c r="K216" s="15"/>
      <c r="L216" s="15"/>
      <c r="M216" s="15"/>
      <c r="N216" s="15"/>
      <c r="O216" s="15"/>
      <c r="P216" s="15"/>
    </row>
    <row r="217" spans="3:16" hidden="1" x14ac:dyDescent="0.15">
      <c r="C217" s="633"/>
      <c r="D217" s="633"/>
      <c r="E217" s="633"/>
      <c r="F217" s="15"/>
      <c r="G217" s="15"/>
      <c r="H217" s="15"/>
      <c r="I217" s="15"/>
      <c r="J217" s="15"/>
      <c r="K217" s="15"/>
      <c r="L217" s="15"/>
      <c r="M217" s="15"/>
      <c r="N217" s="15"/>
      <c r="O217" s="15"/>
      <c r="P217" s="15"/>
    </row>
    <row r="218" spans="3:16" ht="15" hidden="1" x14ac:dyDescent="0.2">
      <c r="C218" s="868" t="s">
        <v>268</v>
      </c>
      <c r="D218" s="868"/>
      <c r="E218" s="868"/>
      <c r="F218" s="868"/>
      <c r="G218" s="868"/>
      <c r="H218" s="868"/>
      <c r="I218" s="15"/>
      <c r="J218" s="15"/>
      <c r="K218" s="15"/>
      <c r="L218" s="15"/>
      <c r="M218" s="15"/>
      <c r="N218" s="15"/>
      <c r="O218" s="15"/>
      <c r="P218" s="15"/>
    </row>
    <row r="219" spans="3:16" ht="15" hidden="1" x14ac:dyDescent="0.2">
      <c r="C219" s="325"/>
      <c r="D219" s="325"/>
      <c r="E219" s="325"/>
      <c r="F219" s="15" t="s">
        <v>28</v>
      </c>
      <c r="G219" s="15" t="s">
        <v>29</v>
      </c>
      <c r="H219" s="15" t="s">
        <v>30</v>
      </c>
      <c r="I219" s="326"/>
      <c r="J219" s="326"/>
      <c r="K219" s="326"/>
      <c r="L219" s="326"/>
      <c r="M219" s="326"/>
      <c r="N219" s="326"/>
      <c r="O219" s="326"/>
      <c r="P219" s="326"/>
    </row>
    <row r="220" spans="3:16" hidden="1" x14ac:dyDescent="0.15">
      <c r="C220" s="633" t="s">
        <v>127</v>
      </c>
      <c r="D220" s="633"/>
      <c r="E220" s="633"/>
      <c r="F220" s="15">
        <f ca="1">+F194</f>
        <v>152637.00400000002</v>
      </c>
      <c r="G220" s="15">
        <f t="shared" ref="G220:H220" ca="1" si="270">+G194</f>
        <v>262199.86199999996</v>
      </c>
      <c r="H220" s="15">
        <f t="shared" ca="1" si="270"/>
        <v>387639.27815999999</v>
      </c>
      <c r="I220" s="15"/>
      <c r="J220" s="15"/>
      <c r="K220" s="15"/>
      <c r="L220" s="15"/>
      <c r="M220" s="15"/>
      <c r="N220" s="15"/>
      <c r="O220" s="15"/>
      <c r="P220" s="15"/>
    </row>
    <row r="221" spans="3:16" hidden="1" x14ac:dyDescent="0.15">
      <c r="C221" s="633"/>
      <c r="D221" s="633"/>
      <c r="E221" s="633"/>
      <c r="F221" s="15"/>
      <c r="G221" s="15"/>
      <c r="H221" s="15"/>
      <c r="I221" s="15"/>
      <c r="J221" s="15"/>
      <c r="K221" s="15"/>
      <c r="L221" s="15"/>
      <c r="M221" s="15"/>
      <c r="N221" s="15"/>
      <c r="O221" s="15"/>
      <c r="P221" s="15"/>
    </row>
    <row r="222" spans="3:16" hidden="1" x14ac:dyDescent="0.15">
      <c r="C222" s="11" t="str">
        <f t="shared" ref="C222:C228" si="271">+C93</f>
        <v>Debt service</v>
      </c>
      <c r="D222" s="633"/>
      <c r="E222" s="633"/>
      <c r="F222" s="15"/>
      <c r="G222" s="15"/>
      <c r="H222" s="15"/>
      <c r="I222" s="15"/>
      <c r="J222" s="15"/>
      <c r="K222" s="15"/>
      <c r="L222" s="15"/>
      <c r="M222" s="15"/>
      <c r="N222" s="15"/>
      <c r="O222" s="15"/>
      <c r="P222" s="15"/>
    </row>
    <row r="223" spans="3:16" hidden="1" x14ac:dyDescent="0.15">
      <c r="C223" s="32" t="str">
        <f t="shared" si="271"/>
        <v>Additional debt/Refinance</v>
      </c>
      <c r="D223" s="633"/>
      <c r="E223" s="633"/>
      <c r="F223" s="696">
        <f t="shared" ref="F223:H228" si="272">+F94</f>
        <v>2815000</v>
      </c>
      <c r="G223" s="696">
        <f t="shared" si="272"/>
        <v>2779443.123698757</v>
      </c>
      <c r="H223" s="696">
        <f t="shared" si="272"/>
        <v>2741857.0053554783</v>
      </c>
      <c r="I223" s="15"/>
      <c r="J223" s="15"/>
      <c r="K223" s="15"/>
      <c r="L223" s="15"/>
      <c r="M223" s="15"/>
      <c r="N223" s="15"/>
      <c r="O223" s="15"/>
      <c r="P223" s="15"/>
    </row>
    <row r="224" spans="3:16" hidden="1" x14ac:dyDescent="0.15">
      <c r="C224" s="636" t="str">
        <f t="shared" si="271"/>
        <v>Additional debt/Refinance</v>
      </c>
      <c r="D224" s="633"/>
      <c r="E224" s="633"/>
      <c r="F224" s="696">
        <f t="shared" si="272"/>
        <v>0</v>
      </c>
      <c r="G224" s="696">
        <f t="shared" si="272"/>
        <v>0</v>
      </c>
      <c r="H224" s="696">
        <f t="shared" si="272"/>
        <v>0</v>
      </c>
      <c r="I224" s="15"/>
      <c r="J224" s="15"/>
      <c r="K224" s="15"/>
      <c r="L224" s="15"/>
      <c r="M224" s="15"/>
      <c r="N224" s="15"/>
      <c r="O224" s="15"/>
      <c r="P224" s="15"/>
    </row>
    <row r="225" spans="3:21" hidden="1" x14ac:dyDescent="0.15">
      <c r="C225" s="32" t="str">
        <f t="shared" si="271"/>
        <v>Payment</v>
      </c>
      <c r="D225" s="633"/>
      <c r="E225" s="633"/>
      <c r="F225" s="696">
        <f t="shared" si="272"/>
        <v>196209.80598874314</v>
      </c>
      <c r="G225" s="696">
        <f t="shared" si="272"/>
        <v>196209.80598874314</v>
      </c>
      <c r="H225" s="696">
        <f t="shared" si="272"/>
        <v>196209.80598874314</v>
      </c>
      <c r="I225" s="15"/>
      <c r="J225" s="15"/>
      <c r="K225" s="15"/>
      <c r="L225" s="15"/>
      <c r="M225" s="15"/>
      <c r="N225" s="15"/>
      <c r="O225" s="15"/>
      <c r="P225" s="15"/>
      <c r="Q225" s="633"/>
      <c r="R225" s="633"/>
      <c r="S225" s="633"/>
      <c r="T225" s="633"/>
      <c r="U225" s="633"/>
    </row>
    <row r="226" spans="3:21" hidden="1" x14ac:dyDescent="0.15">
      <c r="C226" s="32" t="str">
        <f t="shared" si="271"/>
        <v>Principal</v>
      </c>
      <c r="D226" s="633"/>
      <c r="E226" s="633"/>
      <c r="F226" s="696">
        <f t="shared" si="272"/>
        <v>35556.876301243145</v>
      </c>
      <c r="G226" s="696">
        <f t="shared" si="272"/>
        <v>37586.11834327894</v>
      </c>
      <c r="H226" s="696">
        <f t="shared" si="272"/>
        <v>39731.169862791838</v>
      </c>
      <c r="I226" s="15"/>
      <c r="J226" s="15"/>
      <c r="K226" s="15"/>
      <c r="L226" s="15"/>
      <c r="M226" s="15"/>
      <c r="N226" s="15"/>
      <c r="O226" s="15"/>
      <c r="P226" s="15"/>
      <c r="Q226" s="633"/>
      <c r="R226" s="633"/>
      <c r="S226" s="633"/>
      <c r="T226" s="633"/>
      <c r="U226" s="633"/>
    </row>
    <row r="227" spans="3:21" hidden="1" x14ac:dyDescent="0.15">
      <c r="C227" s="32" t="str">
        <f t="shared" si="271"/>
        <v>Interest</v>
      </c>
      <c r="D227" s="633"/>
      <c r="E227" s="633"/>
      <c r="F227" s="696">
        <f t="shared" si="272"/>
        <v>160652.9296875</v>
      </c>
      <c r="G227" s="696">
        <f t="shared" si="272"/>
        <v>158623.6876454642</v>
      </c>
      <c r="H227" s="696">
        <f t="shared" si="272"/>
        <v>156478.63612595131</v>
      </c>
      <c r="I227" s="15"/>
      <c r="J227" s="15"/>
      <c r="K227" s="15"/>
      <c r="L227" s="15"/>
      <c r="M227" s="15"/>
      <c r="N227" s="15"/>
      <c r="O227" s="15"/>
      <c r="P227" s="15"/>
      <c r="Q227" s="633"/>
      <c r="R227" s="633"/>
      <c r="S227" s="633"/>
      <c r="T227" s="633"/>
      <c r="U227" s="633"/>
    </row>
    <row r="228" spans="3:21" hidden="1" x14ac:dyDescent="0.15">
      <c r="C228" s="32" t="str">
        <f t="shared" si="271"/>
        <v>Ending balance</v>
      </c>
      <c r="D228" s="633"/>
      <c r="E228" s="633"/>
      <c r="F228" s="696">
        <f t="shared" si="272"/>
        <v>2779443.123698757</v>
      </c>
      <c r="G228" s="696">
        <f t="shared" si="272"/>
        <v>2741857.0053554783</v>
      </c>
      <c r="H228" s="696">
        <f t="shared" si="272"/>
        <v>2702125.8354926864</v>
      </c>
      <c r="I228" s="15"/>
      <c r="J228" s="15"/>
      <c r="K228" s="15"/>
      <c r="L228" s="15"/>
      <c r="M228" s="15"/>
      <c r="N228" s="15"/>
      <c r="O228" s="15"/>
      <c r="P228" s="15"/>
      <c r="Q228" s="633"/>
      <c r="R228" s="633"/>
      <c r="S228" s="633"/>
      <c r="T228" s="633"/>
      <c r="U228" s="633"/>
    </row>
    <row r="229" spans="3:21" hidden="1" x14ac:dyDescent="0.15">
      <c r="C229" s="633"/>
      <c r="D229" s="633"/>
      <c r="E229" s="633"/>
      <c r="F229" s="696"/>
      <c r="G229" s="696"/>
      <c r="H229" s="696"/>
      <c r="I229" s="15"/>
      <c r="J229" s="15"/>
      <c r="K229" s="15"/>
      <c r="L229" s="15"/>
      <c r="M229" s="15"/>
      <c r="N229" s="15"/>
      <c r="O229" s="15"/>
      <c r="P229" s="15"/>
      <c r="Q229" s="633"/>
      <c r="R229" s="633"/>
      <c r="S229" s="633"/>
      <c r="T229" s="633"/>
      <c r="U229" s="633"/>
    </row>
    <row r="230" spans="3:21" hidden="1" x14ac:dyDescent="0.15">
      <c r="C230" s="290"/>
      <c r="D230" s="633"/>
      <c r="E230" s="633"/>
      <c r="F230" s="696"/>
      <c r="G230" s="696"/>
      <c r="H230" s="696"/>
      <c r="I230" s="15"/>
      <c r="J230" s="15"/>
      <c r="K230" s="15"/>
      <c r="L230" s="15"/>
      <c r="M230" s="15"/>
      <c r="N230" s="15"/>
      <c r="O230" s="15"/>
      <c r="P230" s="15"/>
      <c r="Q230" s="633"/>
      <c r="R230" s="633"/>
      <c r="S230" s="633"/>
      <c r="T230" s="633"/>
      <c r="U230" s="633"/>
    </row>
    <row r="231" spans="3:21" hidden="1" x14ac:dyDescent="0.15">
      <c r="C231" s="633"/>
      <c r="D231" s="633"/>
      <c r="E231" s="633"/>
      <c r="F231" s="696">
        <f t="shared" ref="F231:H232" si="273">+F103</f>
        <v>0</v>
      </c>
      <c r="G231" s="696">
        <f t="shared" si="273"/>
        <v>0</v>
      </c>
      <c r="H231" s="696">
        <f t="shared" si="273"/>
        <v>0</v>
      </c>
      <c r="I231" s="15"/>
      <c r="J231" s="15"/>
      <c r="K231" s="15"/>
      <c r="L231" s="15"/>
      <c r="M231" s="15"/>
      <c r="N231" s="15"/>
      <c r="O231" s="15"/>
      <c r="P231" s="15"/>
      <c r="Q231" s="633"/>
      <c r="R231" s="633"/>
      <c r="S231" s="633"/>
      <c r="T231" s="633"/>
      <c r="U231" s="633"/>
    </row>
    <row r="232" spans="3:21" hidden="1" x14ac:dyDescent="0.15">
      <c r="C232" s="36" t="str">
        <f>+C104</f>
        <v>Refinance Valuation</v>
      </c>
      <c r="D232" s="633"/>
      <c r="E232" s="633"/>
      <c r="F232" s="696">
        <f t="shared" ca="1" si="273"/>
        <v>2775218.2545454549</v>
      </c>
      <c r="G232" s="696">
        <f t="shared" ca="1" si="273"/>
        <v>4767270.2181818178</v>
      </c>
      <c r="H232" s="696">
        <f t="shared" ca="1" si="273"/>
        <v>7047986.8756363634</v>
      </c>
      <c r="I232" s="15"/>
      <c r="J232" s="15"/>
      <c r="K232" s="15"/>
      <c r="L232" s="15"/>
      <c r="M232" s="15"/>
      <c r="N232" s="15"/>
      <c r="O232" s="15"/>
      <c r="P232" s="15"/>
      <c r="Q232" s="633"/>
      <c r="R232" s="633"/>
      <c r="S232" s="633"/>
      <c r="T232" s="633"/>
      <c r="U232" s="633"/>
    </row>
    <row r="233" spans="3:21" hidden="1" x14ac:dyDescent="0.15">
      <c r="C233" s="35"/>
      <c r="D233" s="633"/>
      <c r="E233" s="633"/>
      <c r="F233" s="696"/>
      <c r="G233" s="696"/>
      <c r="H233" s="696"/>
      <c r="I233" s="15"/>
      <c r="J233" s="15"/>
      <c r="K233" s="15"/>
      <c r="L233" s="15"/>
      <c r="M233" s="15"/>
      <c r="N233" s="15"/>
      <c r="O233" s="15"/>
      <c r="P233" s="15"/>
      <c r="Q233" s="633"/>
      <c r="R233" s="633"/>
      <c r="S233" s="633"/>
      <c r="T233" s="633"/>
      <c r="U233" s="633"/>
    </row>
    <row r="234" spans="3:21" hidden="1" x14ac:dyDescent="0.15">
      <c r="C234" s="636" t="str">
        <f>+C106</f>
        <v>Net Cash Flow after Debt Service</v>
      </c>
      <c r="D234" s="633"/>
      <c r="E234" s="633"/>
      <c r="F234" s="696">
        <f t="shared" ref="F234:H238" ca="1" si="274">+F106</f>
        <v>-43572.801988743129</v>
      </c>
      <c r="G234" s="696">
        <f t="shared" ca="1" si="274"/>
        <v>65990.05601125682</v>
      </c>
      <c r="H234" s="696">
        <f t="shared" ca="1" si="274"/>
        <v>191429.47217125684</v>
      </c>
      <c r="I234" s="15"/>
      <c r="J234" s="15"/>
      <c r="K234" s="15"/>
      <c r="L234" s="15"/>
      <c r="M234" s="15"/>
      <c r="N234" s="15"/>
      <c r="O234" s="15"/>
      <c r="P234" s="15"/>
      <c r="Q234" s="633"/>
      <c r="R234" s="633"/>
      <c r="S234" s="633"/>
      <c r="T234" s="633"/>
      <c r="U234" s="633"/>
    </row>
    <row r="235" spans="3:21" hidden="1" x14ac:dyDescent="0.15">
      <c r="C235" s="636" t="str">
        <f>+C107</f>
        <v>Cash from Sale of POH</v>
      </c>
      <c r="D235" s="633"/>
      <c r="E235" s="633"/>
      <c r="F235" s="696">
        <f t="shared" si="274"/>
        <v>0</v>
      </c>
      <c r="G235" s="696">
        <f t="shared" si="274"/>
        <v>0</v>
      </c>
      <c r="H235" s="696">
        <f t="shared" si="274"/>
        <v>0</v>
      </c>
      <c r="I235" s="15"/>
      <c r="J235" s="15"/>
      <c r="K235" s="15"/>
      <c r="L235" s="15"/>
      <c r="M235" s="15"/>
      <c r="N235" s="15"/>
      <c r="O235" s="15"/>
      <c r="P235" s="15"/>
      <c r="Q235" s="633"/>
      <c r="R235" s="633"/>
      <c r="S235" s="633"/>
      <c r="T235" s="633"/>
      <c r="U235" s="633"/>
    </row>
    <row r="236" spans="3:21" hidden="1" x14ac:dyDescent="0.15">
      <c r="C236" s="636" t="str">
        <f>+C108</f>
        <v>Rental Income from POH</v>
      </c>
      <c r="D236" s="633"/>
      <c r="E236" s="633"/>
      <c r="F236" s="696">
        <f t="shared" si="274"/>
        <v>54225.599999999999</v>
      </c>
      <c r="G236" s="696">
        <f t="shared" si="274"/>
        <v>54225.599999999999</v>
      </c>
      <c r="H236" s="696">
        <f t="shared" si="274"/>
        <v>54225.599999999999</v>
      </c>
      <c r="I236" s="15"/>
      <c r="J236" s="15"/>
      <c r="K236" s="15"/>
      <c r="L236" s="15"/>
      <c r="M236" s="15"/>
      <c r="N236" s="15"/>
      <c r="O236" s="15"/>
      <c r="P236" s="15"/>
      <c r="Q236" s="633"/>
      <c r="R236" s="633"/>
      <c r="S236" s="633"/>
      <c r="T236" s="633"/>
      <c r="U236" s="633"/>
    </row>
    <row r="237" spans="3:21" hidden="1" x14ac:dyDescent="0.15">
      <c r="C237" s="636" t="str">
        <f>+C109</f>
        <v>Note Income from POH</v>
      </c>
      <c r="D237" s="633"/>
      <c r="E237" s="633"/>
      <c r="F237" s="696">
        <f t="shared" si="274"/>
        <v>0</v>
      </c>
      <c r="G237" s="696">
        <f t="shared" si="274"/>
        <v>0</v>
      </c>
      <c r="H237" s="696">
        <f t="shared" si="274"/>
        <v>0</v>
      </c>
      <c r="I237" s="15"/>
      <c r="J237" s="15"/>
      <c r="K237" s="15"/>
      <c r="L237" s="15"/>
      <c r="M237" s="15"/>
      <c r="N237" s="15"/>
      <c r="O237" s="15"/>
      <c r="P237" s="15"/>
      <c r="Q237" s="633"/>
      <c r="R237" s="633"/>
      <c r="S237" s="633"/>
      <c r="T237" s="633"/>
      <c r="U237" s="633"/>
    </row>
    <row r="238" spans="3:21" hidden="1" x14ac:dyDescent="0.15">
      <c r="C238" s="636" t="str">
        <f>+C110</f>
        <v>POH Seller Carry Note</v>
      </c>
      <c r="D238" s="633"/>
      <c r="E238" s="633"/>
      <c r="F238" s="696">
        <f t="shared" si="274"/>
        <v>0</v>
      </c>
      <c r="G238" s="696">
        <f t="shared" si="274"/>
        <v>0</v>
      </c>
      <c r="H238" s="696">
        <f t="shared" si="274"/>
        <v>0</v>
      </c>
      <c r="I238" s="15"/>
      <c r="J238" s="15"/>
      <c r="K238" s="15"/>
      <c r="L238" s="15"/>
      <c r="M238" s="15"/>
      <c r="N238" s="15"/>
      <c r="O238" s="15"/>
      <c r="P238" s="15"/>
      <c r="Q238" s="15"/>
      <c r="R238" s="15"/>
      <c r="S238" s="15"/>
      <c r="T238" s="15"/>
      <c r="U238" s="15"/>
    </row>
    <row r="239" spans="3:21" hidden="1" x14ac:dyDescent="0.15">
      <c r="C239" s="636" t="str">
        <f t="shared" ref="C239:C240" si="275">+C115</f>
        <v>Return of Capital (other)</v>
      </c>
      <c r="D239" s="633"/>
      <c r="E239" s="633"/>
      <c r="F239" s="696">
        <f t="shared" ref="F239:H239" si="276">+F115</f>
        <v>0</v>
      </c>
      <c r="G239" s="696">
        <f t="shared" si="276"/>
        <v>0</v>
      </c>
      <c r="H239" s="696">
        <f t="shared" si="276"/>
        <v>0</v>
      </c>
      <c r="I239" s="15"/>
      <c r="J239" s="15"/>
      <c r="K239" s="15"/>
      <c r="L239" s="15"/>
      <c r="M239" s="15"/>
      <c r="N239" s="15"/>
      <c r="O239" s="15"/>
      <c r="P239" s="15"/>
      <c r="Q239" s="15"/>
      <c r="R239" s="15"/>
      <c r="S239" s="15"/>
      <c r="T239" s="15"/>
      <c r="U239" s="15"/>
    </row>
    <row r="240" spans="3:21" hidden="1" x14ac:dyDescent="0.15">
      <c r="C240" s="636" t="str">
        <f t="shared" si="275"/>
        <v>Sale Proceeds at Exit</v>
      </c>
      <c r="D240" s="633"/>
      <c r="E240" s="633"/>
      <c r="F240" s="696">
        <f>+F116</f>
        <v>0</v>
      </c>
      <c r="G240" s="696">
        <f>+G116</f>
        <v>0</v>
      </c>
      <c r="H240" s="696">
        <f ca="1">+(H220/RefiCap)*(1-Cost_of_Sale)</f>
        <v>6836547.269367272</v>
      </c>
      <c r="I240" s="15"/>
      <c r="J240" s="15"/>
      <c r="K240" s="15"/>
      <c r="L240" s="15"/>
      <c r="M240" s="15"/>
      <c r="N240" s="15"/>
      <c r="O240" s="15"/>
      <c r="P240" s="15"/>
      <c r="Q240" s="15"/>
      <c r="R240" s="15"/>
      <c r="S240" s="15"/>
      <c r="T240" s="15"/>
      <c r="U240" s="15"/>
    </row>
    <row r="241" spans="3:28" hidden="1" x14ac:dyDescent="0.15">
      <c r="C241" s="636" t="s">
        <v>269</v>
      </c>
      <c r="D241" s="633"/>
      <c r="E241" s="633"/>
      <c r="F241" s="696"/>
      <c r="G241" s="696"/>
      <c r="H241" s="696">
        <f>-H228</f>
        <v>-2702125.8354926864</v>
      </c>
      <c r="I241" s="15"/>
      <c r="J241" s="15"/>
      <c r="K241" s="15"/>
      <c r="L241" s="15"/>
      <c r="M241" s="15"/>
      <c r="N241" s="15"/>
      <c r="O241" s="15"/>
      <c r="P241" s="15"/>
      <c r="Q241" s="15"/>
      <c r="R241" s="15"/>
      <c r="S241" s="15"/>
      <c r="T241" s="15"/>
      <c r="U241" s="15"/>
      <c r="V241" s="633"/>
      <c r="W241" s="633"/>
      <c r="X241" s="633"/>
      <c r="Y241" s="633"/>
      <c r="Z241" s="633"/>
      <c r="AA241" s="633"/>
      <c r="AB241" s="633"/>
    </row>
    <row r="242" spans="3:28" ht="14" hidden="1" thickBot="1" x14ac:dyDescent="0.2">
      <c r="C242" s="743" t="str">
        <f>+C117</f>
        <v>Pretax Income Available for Distribution</v>
      </c>
      <c r="D242" s="633"/>
      <c r="E242" s="696">
        <f>+E117</f>
        <v>-3909999.8119999999</v>
      </c>
      <c r="F242" s="696">
        <f ca="1">SUM(F234:F241)</f>
        <v>10652.798011256869</v>
      </c>
      <c r="G242" s="696">
        <f ca="1">SUM(G234:G241)</f>
        <v>120215.65601125683</v>
      </c>
      <c r="H242" s="696">
        <f ca="1">SUM(H234:H241)</f>
        <v>4380076.5060458425</v>
      </c>
      <c r="I242" s="15"/>
      <c r="J242" s="15"/>
      <c r="K242" s="15"/>
      <c r="L242" s="15"/>
      <c r="M242" s="15"/>
      <c r="N242" s="15"/>
      <c r="O242" s="15"/>
      <c r="P242" s="15"/>
      <c r="Q242" s="15"/>
      <c r="R242" s="15"/>
      <c r="S242" s="15"/>
      <c r="T242" s="15"/>
      <c r="U242" s="15"/>
      <c r="V242" s="633"/>
      <c r="W242" s="633"/>
      <c r="X242" s="633"/>
      <c r="Y242" s="633"/>
      <c r="Z242" s="633"/>
      <c r="AA242" s="633"/>
      <c r="AB242" s="633"/>
    </row>
    <row r="243" spans="3:28" ht="14" hidden="1" thickTop="1" x14ac:dyDescent="0.15">
      <c r="C243" s="633"/>
      <c r="D243" s="633"/>
      <c r="E243" s="633"/>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3:28" hidden="1" x14ac:dyDescent="0.15">
      <c r="C244" s="633" t="s">
        <v>270</v>
      </c>
      <c r="D244" s="633"/>
      <c r="E244" s="697">
        <f ca="1">IRR(E242:H242)</f>
        <v>4.9353307848799544E-2</v>
      </c>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3:28" hidden="1" x14ac:dyDescent="0.15">
      <c r="C245" s="633"/>
      <c r="D245" s="633"/>
      <c r="E245" s="633"/>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3:28" hidden="1" x14ac:dyDescent="0.15">
      <c r="C246" s="11" t="str">
        <f t="shared" ref="C246:C251" si="277">+C121</f>
        <v>Distributions</v>
      </c>
      <c r="D246" s="633"/>
      <c r="E246" s="633"/>
      <c r="F246" s="13"/>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3:28" hidden="1" x14ac:dyDescent="0.15">
      <c r="C247" s="636" t="str">
        <f t="shared" si="277"/>
        <v>Investor Preferred Return</v>
      </c>
      <c r="D247" s="633"/>
      <c r="E247" s="633"/>
      <c r="F247" s="13"/>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3:28" hidden="1" x14ac:dyDescent="0.15">
      <c r="C248" s="23" t="str">
        <f t="shared" si="277"/>
        <v>Beginning balance</v>
      </c>
      <c r="D248" s="633"/>
      <c r="E248" s="633"/>
      <c r="F248" s="13">
        <f>+F123</f>
        <v>3909999.8119999999</v>
      </c>
      <c r="G248" s="13">
        <f ca="1">+G123</f>
        <v>4094847.0045887432</v>
      </c>
      <c r="H248" s="13">
        <f ca="1">+H123</f>
        <v>4179373.6988069233</v>
      </c>
      <c r="I248" s="15"/>
      <c r="J248" s="15"/>
      <c r="K248" s="15"/>
      <c r="L248" s="15"/>
      <c r="M248" s="15"/>
      <c r="N248" s="15"/>
      <c r="O248" s="15"/>
      <c r="P248" s="15"/>
      <c r="Q248" s="15"/>
      <c r="R248" s="15"/>
      <c r="S248" s="15"/>
      <c r="T248" s="15"/>
      <c r="U248" s="15"/>
      <c r="V248" s="15"/>
      <c r="W248" s="15"/>
      <c r="X248" s="15"/>
      <c r="Y248" s="15"/>
      <c r="Z248" s="15"/>
      <c r="AA248" s="15"/>
      <c r="AB248" s="15"/>
    </row>
    <row r="249" spans="3:28" hidden="1" x14ac:dyDescent="0.15">
      <c r="C249" s="23" t="str">
        <f t="shared" si="277"/>
        <v>Preferred return</v>
      </c>
      <c r="D249" s="633"/>
      <c r="E249" s="633"/>
      <c r="F249" s="13">
        <f>+F248*InvestorPref</f>
        <v>195499.99060000002</v>
      </c>
      <c r="G249" s="13">
        <f ca="1">+G248*InvestorPref</f>
        <v>204742.35022943717</v>
      </c>
      <c r="H249" s="13">
        <f ca="1">+H248*InvestorPref</f>
        <v>208968.68494034617</v>
      </c>
      <c r="I249" s="15"/>
      <c r="J249" s="15"/>
      <c r="K249" s="15"/>
      <c r="L249" s="15"/>
      <c r="M249" s="15"/>
      <c r="N249" s="15"/>
      <c r="O249" s="15"/>
      <c r="P249" s="15"/>
      <c r="Q249" s="15"/>
      <c r="R249" s="15"/>
      <c r="S249" s="15"/>
      <c r="T249" s="15"/>
      <c r="U249" s="15"/>
      <c r="V249" s="15"/>
      <c r="W249" s="15"/>
      <c r="X249" s="15"/>
      <c r="Y249" s="15"/>
      <c r="Z249" s="15"/>
      <c r="AA249" s="15"/>
      <c r="AB249" s="15"/>
    </row>
    <row r="250" spans="3:28" hidden="1" x14ac:dyDescent="0.15">
      <c r="C250" s="23" t="str">
        <f t="shared" si="277"/>
        <v>Payment</v>
      </c>
      <c r="D250" s="633"/>
      <c r="E250" s="633"/>
      <c r="F250" s="13">
        <f ca="1">MAX(-F248-F249,-F242)</f>
        <v>-10652.798011256869</v>
      </c>
      <c r="G250" s="13">
        <f t="shared" ref="G250:H250" ca="1" si="278">MAX(-G248-G249,-G242)</f>
        <v>-120215.65601125683</v>
      </c>
      <c r="H250" s="13">
        <f t="shared" ca="1" si="278"/>
        <v>-4380076.5060458425</v>
      </c>
      <c r="I250" s="15"/>
      <c r="J250" s="15"/>
      <c r="K250" s="15"/>
      <c r="L250" s="15"/>
      <c r="M250" s="15"/>
      <c r="N250" s="15"/>
      <c r="O250" s="15"/>
      <c r="P250" s="15"/>
      <c r="Q250" s="15"/>
      <c r="R250" s="15"/>
      <c r="S250" s="15"/>
      <c r="T250" s="15"/>
      <c r="U250" s="15"/>
      <c r="V250" s="15"/>
      <c r="W250" s="15"/>
      <c r="X250" s="15"/>
      <c r="Y250" s="15"/>
      <c r="Z250" s="15"/>
      <c r="AA250" s="15"/>
      <c r="AB250" s="15"/>
    </row>
    <row r="251" spans="3:28" hidden="1" x14ac:dyDescent="0.15">
      <c r="C251" s="23" t="str">
        <f t="shared" si="277"/>
        <v>Ending balance</v>
      </c>
      <c r="D251" s="633"/>
      <c r="E251" s="633"/>
      <c r="F251" s="782">
        <f ca="1">SUM(F248:F250)</f>
        <v>4094847.0045887432</v>
      </c>
      <c r="G251" s="782">
        <f t="shared" ref="G251:H251" ca="1" si="279">SUM(G248:G250)</f>
        <v>4179373.6988069233</v>
      </c>
      <c r="H251" s="782">
        <f t="shared" ca="1" si="279"/>
        <v>8265.8777014268562</v>
      </c>
      <c r="I251" s="15"/>
      <c r="J251" s="15"/>
      <c r="K251" s="15"/>
      <c r="L251" s="15"/>
      <c r="M251" s="15"/>
      <c r="N251" s="15"/>
      <c r="O251" s="15"/>
      <c r="P251" s="15"/>
      <c r="Q251" s="15"/>
      <c r="R251" s="15"/>
      <c r="S251" s="15"/>
      <c r="T251" s="15"/>
      <c r="U251" s="15"/>
      <c r="V251" s="15"/>
      <c r="W251" s="15"/>
      <c r="X251" s="15"/>
      <c r="Y251" s="15"/>
      <c r="Z251" s="15"/>
      <c r="AA251" s="15"/>
      <c r="AB251" s="15"/>
    </row>
    <row r="252" spans="3:28" hidden="1" x14ac:dyDescent="0.15">
      <c r="C252" s="636" t="s">
        <v>271</v>
      </c>
      <c r="D252" s="633"/>
      <c r="E252" s="633"/>
      <c r="F252" s="13">
        <f ca="1">+F242+F250</f>
        <v>0</v>
      </c>
      <c r="G252" s="13">
        <f t="shared" ref="G252:H252" ca="1" si="280">+G242+G250</f>
        <v>0</v>
      </c>
      <c r="H252" s="13">
        <f t="shared" ca="1" si="280"/>
        <v>0</v>
      </c>
      <c r="I252" s="15"/>
      <c r="J252" s="15"/>
      <c r="K252" s="15"/>
      <c r="L252" s="15"/>
      <c r="M252" s="15"/>
      <c r="N252" s="15"/>
      <c r="O252" s="15"/>
      <c r="P252" s="15"/>
      <c r="Q252" s="15"/>
      <c r="R252" s="15"/>
      <c r="S252" s="15"/>
      <c r="T252" s="15"/>
      <c r="U252" s="15"/>
      <c r="V252" s="15"/>
      <c r="W252" s="15"/>
      <c r="X252" s="15"/>
      <c r="Y252" s="15"/>
      <c r="Z252" s="15"/>
      <c r="AA252" s="15"/>
      <c r="AB252" s="15"/>
    </row>
    <row r="253" spans="3:28" hidden="1" x14ac:dyDescent="0.15">
      <c r="C253" s="41" t="str">
        <f t="shared" ref="C253:C259" si="281">+C128</f>
        <v>Split</v>
      </c>
      <c r="D253" s="633"/>
      <c r="E253" s="633"/>
      <c r="F253" s="13"/>
      <c r="G253" s="13"/>
      <c r="H253" s="13"/>
      <c r="I253" s="15"/>
      <c r="J253" s="15"/>
      <c r="K253" s="15"/>
      <c r="L253" s="15"/>
      <c r="M253" s="15"/>
      <c r="N253" s="15"/>
      <c r="O253" s="15"/>
      <c r="P253" s="15"/>
      <c r="Q253" s="15"/>
      <c r="R253" s="15"/>
      <c r="S253" s="15"/>
      <c r="T253" s="15"/>
      <c r="U253" s="15"/>
      <c r="V253" s="15"/>
      <c r="W253" s="15"/>
      <c r="X253" s="15"/>
      <c r="Y253" s="15"/>
      <c r="Z253" s="15"/>
      <c r="AA253" s="15"/>
      <c r="AB253" s="15"/>
    </row>
    <row r="254" spans="3:28" hidden="1" x14ac:dyDescent="0.15">
      <c r="C254" s="695" t="str">
        <f t="shared" si="281"/>
        <v>Investor</v>
      </c>
      <c r="D254" s="633"/>
      <c r="E254" s="633"/>
      <c r="F254" s="13">
        <f ca="1">+F252*InvestorPromote</f>
        <v>0</v>
      </c>
      <c r="G254" s="13">
        <f ca="1">+G252*InvestorPromote</f>
        <v>0</v>
      </c>
      <c r="H254" s="13">
        <f ca="1">+H252*InvestorPromote</f>
        <v>0</v>
      </c>
      <c r="I254" s="15"/>
      <c r="J254" s="15"/>
      <c r="K254" s="15"/>
      <c r="L254" s="15"/>
      <c r="M254" s="15"/>
      <c r="N254" s="15"/>
      <c r="O254" s="15"/>
      <c r="P254" s="15"/>
      <c r="Q254" s="15"/>
      <c r="R254" s="15"/>
      <c r="S254" s="15"/>
      <c r="T254" s="15"/>
      <c r="U254" s="15"/>
      <c r="V254" s="15"/>
      <c r="W254" s="15"/>
      <c r="X254" s="15"/>
      <c r="Y254" s="15"/>
      <c r="Z254" s="15"/>
      <c r="AA254" s="15"/>
      <c r="AB254" s="15"/>
    </row>
    <row r="255" spans="3:28" hidden="1" x14ac:dyDescent="0.15">
      <c r="C255" s="695" t="str">
        <f t="shared" si="281"/>
        <v>BVG</v>
      </c>
      <c r="D255" s="633"/>
      <c r="E255" s="633"/>
      <c r="F255" s="13">
        <f ca="1">+F252*BVGPromote</f>
        <v>0</v>
      </c>
      <c r="G255" s="13">
        <f ca="1">+G252*BVGPromote</f>
        <v>0</v>
      </c>
      <c r="H255" s="13">
        <f ca="1">+H252*BVGPromote</f>
        <v>0</v>
      </c>
      <c r="I255" s="15"/>
      <c r="J255" s="15"/>
      <c r="K255" s="15"/>
      <c r="L255" s="15"/>
      <c r="M255" s="15"/>
      <c r="N255" s="15"/>
      <c r="O255" s="15"/>
      <c r="P255" s="15"/>
      <c r="Q255" s="15"/>
      <c r="R255" s="15"/>
      <c r="S255" s="15"/>
      <c r="T255" s="15"/>
      <c r="U255" s="15"/>
      <c r="V255" s="15"/>
      <c r="W255" s="15"/>
      <c r="X255" s="15"/>
      <c r="Y255" s="15"/>
      <c r="Z255" s="15"/>
      <c r="AA255" s="15"/>
      <c r="AB255" s="15"/>
    </row>
    <row r="256" spans="3:28" hidden="1" x14ac:dyDescent="0.15">
      <c r="C256" s="41" t="str">
        <f t="shared" si="281"/>
        <v>Total</v>
      </c>
      <c r="D256" s="633"/>
      <c r="E256" s="633"/>
      <c r="F256" s="13"/>
      <c r="G256" s="13"/>
      <c r="H256" s="13"/>
      <c r="I256" s="15"/>
      <c r="J256" s="15"/>
      <c r="K256" s="15"/>
      <c r="L256" s="15"/>
      <c r="M256" s="15"/>
      <c r="N256" s="15"/>
      <c r="O256" s="15"/>
      <c r="P256" s="15"/>
      <c r="Q256" s="15"/>
      <c r="R256" s="15"/>
      <c r="S256" s="15"/>
      <c r="T256" s="15"/>
      <c r="U256" s="15"/>
      <c r="V256" s="15"/>
      <c r="W256" s="15"/>
      <c r="X256" s="15"/>
      <c r="Y256" s="15"/>
      <c r="Z256" s="15"/>
      <c r="AA256" s="15"/>
      <c r="AB256" s="15"/>
    </row>
    <row r="257" spans="3:28" hidden="1" x14ac:dyDescent="0.15">
      <c r="C257" s="695" t="str">
        <f t="shared" si="281"/>
        <v>Investor</v>
      </c>
      <c r="D257" s="633"/>
      <c r="E257" s="633"/>
      <c r="F257" s="13">
        <f ca="1">-F250+F254</f>
        <v>10652.798011256869</v>
      </c>
      <c r="G257" s="13">
        <f t="shared" ref="G257:H257" ca="1" si="282">-G250+G254</f>
        <v>120215.65601125683</v>
      </c>
      <c r="H257" s="13">
        <f t="shared" ca="1" si="282"/>
        <v>4380076.5060458425</v>
      </c>
      <c r="I257" s="15"/>
      <c r="J257" s="15"/>
      <c r="K257" s="15"/>
      <c r="L257" s="15"/>
      <c r="M257" s="15"/>
      <c r="N257" s="15"/>
      <c r="O257" s="15"/>
      <c r="P257" s="15"/>
      <c r="Q257" s="15"/>
      <c r="R257" s="15"/>
      <c r="S257" s="15"/>
      <c r="T257" s="15"/>
      <c r="U257" s="15"/>
      <c r="V257" s="15"/>
      <c r="W257" s="15"/>
      <c r="X257" s="15"/>
      <c r="Y257" s="15"/>
      <c r="Z257" s="15"/>
      <c r="AA257" s="15"/>
      <c r="AB257" s="15"/>
    </row>
    <row r="258" spans="3:28" hidden="1" x14ac:dyDescent="0.15">
      <c r="C258" s="695" t="str">
        <f t="shared" si="281"/>
        <v>BVG</v>
      </c>
      <c r="D258" s="633"/>
      <c r="E258" s="633"/>
      <c r="F258" s="13">
        <f ca="1">+F255</f>
        <v>0</v>
      </c>
      <c r="G258" s="13">
        <f t="shared" ref="G258:H258" ca="1" si="283">+G255</f>
        <v>0</v>
      </c>
      <c r="H258" s="13">
        <f t="shared" ca="1" si="283"/>
        <v>0</v>
      </c>
      <c r="I258" s="15"/>
      <c r="J258" s="15"/>
      <c r="K258" s="15"/>
      <c r="L258" s="15"/>
      <c r="M258" s="15"/>
      <c r="N258" s="15"/>
      <c r="O258" s="15"/>
      <c r="P258" s="15"/>
      <c r="Q258" s="15"/>
      <c r="R258" s="15"/>
      <c r="S258" s="15"/>
      <c r="T258" s="15"/>
      <c r="U258" s="15"/>
      <c r="V258" s="15"/>
      <c r="W258" s="15"/>
      <c r="X258" s="15"/>
      <c r="Y258" s="15"/>
      <c r="Z258" s="15"/>
      <c r="AA258" s="15"/>
      <c r="AB258" s="15"/>
    </row>
    <row r="259" spans="3:28" ht="14" hidden="1" x14ac:dyDescent="0.15">
      <c r="C259" s="131" t="str">
        <f t="shared" si="281"/>
        <v>Total Project Cash Flow</v>
      </c>
      <c r="D259" s="633"/>
      <c r="E259" s="696">
        <f>E242</f>
        <v>-3909999.8119999999</v>
      </c>
      <c r="F259" s="13">
        <f ca="1">+F257</f>
        <v>10652.798011256869</v>
      </c>
      <c r="G259" s="13">
        <f t="shared" ref="G259:H259" ca="1" si="284">+G257</f>
        <v>120215.65601125683</v>
      </c>
      <c r="H259" s="13">
        <f t="shared" ca="1" si="284"/>
        <v>4380076.5060458425</v>
      </c>
      <c r="I259" s="15"/>
      <c r="J259" s="15"/>
      <c r="K259" s="15"/>
      <c r="L259" s="15"/>
      <c r="M259" s="15"/>
      <c r="N259" s="15"/>
      <c r="O259" s="15"/>
      <c r="P259" s="15"/>
      <c r="Q259" s="15"/>
      <c r="R259" s="15"/>
      <c r="S259" s="15"/>
      <c r="T259" s="15"/>
      <c r="U259" s="15"/>
      <c r="V259" s="15"/>
      <c r="W259" s="15"/>
      <c r="X259" s="15"/>
      <c r="Y259" s="15"/>
      <c r="Z259" s="15"/>
      <c r="AA259" s="15"/>
      <c r="AB259" s="15"/>
    </row>
    <row r="260" spans="3:28" hidden="1" x14ac:dyDescent="0.15">
      <c r="C260" s="299"/>
      <c r="D260" s="633"/>
      <c r="E260" s="633"/>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3:28" hidden="1" x14ac:dyDescent="0.15">
      <c r="C261" s="11" t="s">
        <v>272</v>
      </c>
      <c r="D261" s="633"/>
      <c r="E261" s="697">
        <f ca="1">IRR(E259:H259)</f>
        <v>4.9353307848799544E-2</v>
      </c>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3:28" hidden="1" x14ac:dyDescent="0.15">
      <c r="C262" s="633" t="s">
        <v>273</v>
      </c>
      <c r="D262" s="633"/>
      <c r="E262" s="707">
        <f ca="1">SUM(F259:H259)/-E259</f>
        <v>1.15369441866059</v>
      </c>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3:28" hidden="1" x14ac:dyDescent="0.15">
      <c r="C263" s="633" t="s">
        <v>274</v>
      </c>
      <c r="D263" s="633"/>
      <c r="E263" s="689">
        <f ca="1">SUM(F259:H259)</f>
        <v>4510944.9600683562</v>
      </c>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3:28" hidden="1" x14ac:dyDescent="0.15">
      <c r="C264" s="633"/>
      <c r="D264" s="633"/>
      <c r="E264" s="633"/>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3:28" hidden="1" x14ac:dyDescent="0.15">
      <c r="C265" s="633"/>
      <c r="D265" s="633"/>
      <c r="E265" s="633"/>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3:28" hidden="1" x14ac:dyDescent="0.15">
      <c r="C266" s="633"/>
      <c r="E266" s="633"/>
      <c r="F266" s="633"/>
      <c r="G266" s="633"/>
      <c r="H266" s="633"/>
      <c r="I266" s="633"/>
      <c r="J266" s="633"/>
      <c r="K266" s="633"/>
      <c r="L266" s="633"/>
      <c r="M266" s="633"/>
      <c r="N266" s="633"/>
      <c r="O266" s="633"/>
      <c r="P266" s="633"/>
      <c r="Q266" s="633"/>
      <c r="R266" s="633"/>
      <c r="S266" s="633"/>
      <c r="T266" s="633"/>
      <c r="U266" s="633"/>
      <c r="V266" s="633"/>
      <c r="W266" s="633"/>
      <c r="X266" s="633"/>
      <c r="Y266" s="633"/>
      <c r="Z266" s="633"/>
      <c r="AA266" s="633"/>
      <c r="AB266" s="633"/>
    </row>
    <row r="267" spans="3:28" ht="15" hidden="1" x14ac:dyDescent="0.2">
      <c r="C267" s="868" t="s">
        <v>275</v>
      </c>
      <c r="D267" s="868"/>
      <c r="E267" s="868"/>
      <c r="F267" s="868"/>
      <c r="G267" s="868"/>
      <c r="H267" s="868"/>
      <c r="I267" s="868"/>
      <c r="J267" s="868"/>
      <c r="K267" s="15"/>
      <c r="L267" s="15"/>
      <c r="M267" s="15"/>
      <c r="N267" s="15"/>
      <c r="O267" s="15"/>
      <c r="P267" s="15"/>
      <c r="Q267" s="15"/>
      <c r="R267" s="15"/>
      <c r="S267" s="15"/>
      <c r="T267" s="15"/>
      <c r="U267" s="15"/>
      <c r="V267" s="633"/>
      <c r="W267" s="633"/>
      <c r="X267" s="633"/>
      <c r="Y267" s="633"/>
      <c r="Z267" s="633"/>
      <c r="AA267" s="633"/>
      <c r="AB267" s="633"/>
    </row>
    <row r="268" spans="3:28" ht="15" hidden="1" x14ac:dyDescent="0.2">
      <c r="C268" s="325"/>
      <c r="D268" s="325"/>
      <c r="E268" s="325"/>
      <c r="F268" s="15" t="s">
        <v>28</v>
      </c>
      <c r="G268" s="15" t="s">
        <v>29</v>
      </c>
      <c r="H268" s="15" t="s">
        <v>30</v>
      </c>
      <c r="I268" s="15" t="s">
        <v>31</v>
      </c>
      <c r="J268" s="15" t="s">
        <v>45</v>
      </c>
      <c r="K268" s="326"/>
      <c r="L268" s="326"/>
      <c r="M268" s="326"/>
      <c r="N268" s="326"/>
      <c r="O268" s="326"/>
      <c r="P268" s="326"/>
      <c r="Q268" s="326"/>
      <c r="R268" s="326"/>
      <c r="S268" s="326"/>
      <c r="T268" s="326"/>
      <c r="U268" s="326"/>
      <c r="V268" s="633"/>
      <c r="W268" s="633"/>
      <c r="X268" s="633"/>
      <c r="Y268" s="633"/>
      <c r="Z268" s="633"/>
      <c r="AA268" s="633"/>
      <c r="AB268" s="633"/>
    </row>
    <row r="269" spans="3:28" hidden="1" x14ac:dyDescent="0.15">
      <c r="C269" s="633" t="s">
        <v>127</v>
      </c>
      <c r="D269" s="633"/>
      <c r="E269" s="633"/>
      <c r="F269" s="15">
        <f ca="1">+F87</f>
        <v>152637.00400000002</v>
      </c>
      <c r="G269" s="15">
        <f ca="1">+G87</f>
        <v>262199.86199999996</v>
      </c>
      <c r="H269" s="15">
        <f ca="1">+H87</f>
        <v>387639.27815999999</v>
      </c>
      <c r="I269" s="15">
        <f ca="1">+I87</f>
        <v>519434.58364319993</v>
      </c>
      <c r="J269" s="15">
        <f ca="1">+J87</f>
        <v>651211.47623606387</v>
      </c>
      <c r="K269" s="15"/>
      <c r="L269" s="15"/>
      <c r="M269" s="15"/>
      <c r="N269" s="15"/>
      <c r="O269" s="15"/>
      <c r="P269" s="15"/>
      <c r="Q269" s="15"/>
      <c r="R269" s="15"/>
      <c r="S269" s="15"/>
      <c r="T269" s="15"/>
      <c r="U269" s="15"/>
      <c r="V269" s="633"/>
      <c r="W269" s="633"/>
      <c r="X269" s="633"/>
      <c r="Y269" s="633"/>
      <c r="Z269" s="633"/>
      <c r="AA269" s="633"/>
      <c r="AB269" s="633"/>
    </row>
    <row r="270" spans="3:28" hidden="1" x14ac:dyDescent="0.15">
      <c r="C270" s="633"/>
      <c r="D270" s="633"/>
      <c r="E270" s="633"/>
      <c r="F270" s="15"/>
      <c r="G270" s="15"/>
      <c r="H270" s="15"/>
      <c r="I270" s="15"/>
      <c r="J270" s="15"/>
      <c r="K270" s="15"/>
      <c r="L270" s="15"/>
      <c r="M270" s="15"/>
      <c r="N270" s="15"/>
      <c r="O270" s="15"/>
      <c r="P270" s="15"/>
      <c r="Q270" s="15"/>
      <c r="R270" s="15"/>
      <c r="S270" s="15"/>
      <c r="T270" s="15"/>
      <c r="U270" s="15"/>
      <c r="V270" s="633"/>
      <c r="W270" s="633"/>
      <c r="X270" s="633"/>
      <c r="Y270" s="633"/>
      <c r="Z270" s="633"/>
      <c r="AA270" s="633"/>
      <c r="AB270" s="633"/>
    </row>
    <row r="271" spans="3:28" hidden="1" x14ac:dyDescent="0.15">
      <c r="C271" s="11" t="str">
        <f>+C222</f>
        <v>Debt service</v>
      </c>
      <c r="D271" s="633"/>
      <c r="E271" s="633"/>
      <c r="F271" s="15"/>
      <c r="G271" s="15"/>
      <c r="H271" s="15"/>
      <c r="I271" s="15"/>
      <c r="J271" s="15"/>
      <c r="K271" s="15"/>
      <c r="L271" s="15"/>
      <c r="M271" s="15"/>
      <c r="N271" s="15"/>
      <c r="O271" s="15"/>
      <c r="P271" s="15"/>
      <c r="Q271" s="15"/>
      <c r="R271" s="15"/>
      <c r="S271" s="15"/>
      <c r="T271" s="15"/>
      <c r="U271" s="15"/>
      <c r="V271" s="633"/>
      <c r="W271" s="633"/>
      <c r="X271" s="633"/>
      <c r="Y271" s="633"/>
      <c r="Z271" s="633"/>
      <c r="AA271" s="633"/>
      <c r="AB271" s="633"/>
    </row>
    <row r="272" spans="3:28" hidden="1" x14ac:dyDescent="0.15">
      <c r="C272" s="32" t="str">
        <f t="shared" ref="C272:C291" si="285">+C223</f>
        <v>Additional debt/Refinance</v>
      </c>
      <c r="D272" s="633"/>
      <c r="E272" s="633"/>
      <c r="F272" s="696">
        <f t="shared" ref="F272:F277" si="286">F94</f>
        <v>2815000</v>
      </c>
      <c r="G272" s="696">
        <f t="shared" ref="G272:J272" si="287">G94</f>
        <v>2779443.123698757</v>
      </c>
      <c r="H272" s="696">
        <f t="shared" si="287"/>
        <v>2741857.0053554783</v>
      </c>
      <c r="I272" s="696">
        <f t="shared" si="287"/>
        <v>2702125.8354926864</v>
      </c>
      <c r="J272" s="696">
        <f t="shared" si="287"/>
        <v>2660127.1953498344</v>
      </c>
      <c r="K272" s="15"/>
      <c r="L272" s="15"/>
      <c r="M272" s="15"/>
      <c r="N272" s="15"/>
      <c r="O272" s="15"/>
      <c r="P272" s="15"/>
      <c r="Q272" s="15"/>
      <c r="R272" s="15"/>
      <c r="S272" s="15"/>
      <c r="T272" s="15"/>
      <c r="U272" s="15"/>
      <c r="V272" s="633"/>
      <c r="W272" s="633"/>
      <c r="X272" s="633"/>
      <c r="Y272" s="633"/>
      <c r="Z272" s="633"/>
      <c r="AA272" s="633"/>
      <c r="AB272" s="633"/>
    </row>
    <row r="273" spans="3:21" hidden="1" x14ac:dyDescent="0.15">
      <c r="C273" s="636" t="str">
        <f t="shared" si="285"/>
        <v>Additional debt/Refinance</v>
      </c>
      <c r="D273" s="633"/>
      <c r="E273" s="633"/>
      <c r="F273" s="696">
        <f t="shared" si="286"/>
        <v>0</v>
      </c>
      <c r="G273" s="696">
        <f t="shared" ref="G273:J277" si="288">G95</f>
        <v>0</v>
      </c>
      <c r="H273" s="696">
        <f t="shared" si="288"/>
        <v>0</v>
      </c>
      <c r="I273" s="696">
        <f t="shared" si="288"/>
        <v>0</v>
      </c>
      <c r="J273" s="696">
        <f t="shared" si="288"/>
        <v>0</v>
      </c>
      <c r="K273" s="15"/>
      <c r="L273" s="15"/>
      <c r="M273" s="15"/>
      <c r="N273" s="15"/>
      <c r="O273" s="15"/>
      <c r="P273" s="15"/>
      <c r="Q273" s="15"/>
      <c r="R273" s="15"/>
      <c r="S273" s="15"/>
      <c r="T273" s="15"/>
      <c r="U273" s="15"/>
    </row>
    <row r="274" spans="3:21" hidden="1" x14ac:dyDescent="0.15">
      <c r="C274" s="32" t="str">
        <f t="shared" si="285"/>
        <v>Payment</v>
      </c>
      <c r="D274" s="633"/>
      <c r="E274" s="633"/>
      <c r="F274" s="696">
        <f t="shared" si="286"/>
        <v>196209.80598874314</v>
      </c>
      <c r="G274" s="696">
        <f t="shared" si="288"/>
        <v>196209.80598874314</v>
      </c>
      <c r="H274" s="696">
        <f t="shared" si="288"/>
        <v>196209.80598874314</v>
      </c>
      <c r="I274" s="696">
        <f t="shared" si="288"/>
        <v>196209.80598874314</v>
      </c>
      <c r="J274" s="696">
        <f t="shared" si="288"/>
        <v>196209.80598874314</v>
      </c>
      <c r="K274" s="15"/>
      <c r="L274" s="15"/>
      <c r="M274" s="15"/>
      <c r="N274" s="15"/>
      <c r="O274" s="15"/>
      <c r="P274" s="15"/>
      <c r="Q274" s="15"/>
      <c r="R274" s="15"/>
      <c r="S274" s="15"/>
      <c r="T274" s="15"/>
      <c r="U274" s="15"/>
    </row>
    <row r="275" spans="3:21" hidden="1" x14ac:dyDescent="0.15">
      <c r="C275" s="32" t="str">
        <f t="shared" si="285"/>
        <v>Principal</v>
      </c>
      <c r="D275" s="633"/>
      <c r="E275" s="633"/>
      <c r="F275" s="696">
        <f t="shared" si="286"/>
        <v>35556.876301243145</v>
      </c>
      <c r="G275" s="696">
        <f t="shared" si="288"/>
        <v>37586.11834327894</v>
      </c>
      <c r="H275" s="696">
        <f t="shared" si="288"/>
        <v>39731.169862791838</v>
      </c>
      <c r="I275" s="696">
        <f t="shared" si="288"/>
        <v>41998.640142851946</v>
      </c>
      <c r="J275" s="696">
        <f t="shared" si="288"/>
        <v>44395.515660379548</v>
      </c>
      <c r="K275" s="15"/>
      <c r="L275" s="15"/>
      <c r="M275" s="15"/>
      <c r="N275" s="15"/>
      <c r="O275" s="15"/>
      <c r="P275" s="15"/>
      <c r="Q275" s="15"/>
      <c r="R275" s="15"/>
      <c r="S275" s="15"/>
      <c r="T275" s="15"/>
      <c r="U275" s="15"/>
    </row>
    <row r="276" spans="3:21" hidden="1" x14ac:dyDescent="0.15">
      <c r="C276" s="32" t="str">
        <f t="shared" si="285"/>
        <v>Interest</v>
      </c>
      <c r="D276" s="633"/>
      <c r="E276" s="633"/>
      <c r="F276" s="696">
        <f t="shared" si="286"/>
        <v>160652.9296875</v>
      </c>
      <c r="G276" s="696">
        <f t="shared" si="288"/>
        <v>158623.6876454642</v>
      </c>
      <c r="H276" s="696">
        <f t="shared" si="288"/>
        <v>156478.63612595131</v>
      </c>
      <c r="I276" s="696">
        <f t="shared" si="288"/>
        <v>154211.1658458912</v>
      </c>
      <c r="J276" s="696">
        <f t="shared" si="288"/>
        <v>151814.2903283636</v>
      </c>
      <c r="K276" s="15"/>
      <c r="L276" s="15"/>
      <c r="M276" s="15"/>
      <c r="N276" s="15"/>
      <c r="O276" s="15"/>
      <c r="P276" s="15"/>
      <c r="Q276" s="15"/>
      <c r="R276" s="15"/>
      <c r="S276" s="15"/>
      <c r="T276" s="15"/>
      <c r="U276" s="15"/>
    </row>
    <row r="277" spans="3:21" hidden="1" x14ac:dyDescent="0.15">
      <c r="C277" s="32" t="str">
        <f t="shared" si="285"/>
        <v>Ending balance</v>
      </c>
      <c r="D277" s="633"/>
      <c r="E277" s="633"/>
      <c r="F277" s="696">
        <f t="shared" si="286"/>
        <v>2779443.123698757</v>
      </c>
      <c r="G277" s="696">
        <f t="shared" si="288"/>
        <v>2741857.0053554783</v>
      </c>
      <c r="H277" s="696">
        <f t="shared" si="288"/>
        <v>2702125.8354926864</v>
      </c>
      <c r="I277" s="696">
        <f t="shared" si="288"/>
        <v>2660127.1953498344</v>
      </c>
      <c r="J277" s="696">
        <f t="shared" si="288"/>
        <v>2615731.6796894548</v>
      </c>
      <c r="K277" s="15"/>
      <c r="L277" s="15"/>
      <c r="M277" s="15"/>
      <c r="N277" s="15"/>
      <c r="O277" s="15"/>
      <c r="P277" s="15"/>
      <c r="Q277" s="15"/>
      <c r="R277" s="15"/>
      <c r="S277" s="15"/>
      <c r="T277" s="15"/>
      <c r="U277" s="15"/>
    </row>
    <row r="278" spans="3:21" hidden="1" x14ac:dyDescent="0.15">
      <c r="C278" s="633"/>
      <c r="D278" s="633"/>
      <c r="E278" s="633"/>
      <c r="F278" s="696"/>
      <c r="G278" s="696"/>
      <c r="H278" s="696"/>
      <c r="I278" s="15"/>
      <c r="J278" s="15"/>
      <c r="K278" s="15"/>
      <c r="L278" s="15"/>
      <c r="M278" s="15"/>
      <c r="N278" s="15"/>
      <c r="O278" s="15"/>
      <c r="P278" s="15"/>
      <c r="Q278" s="15"/>
      <c r="R278" s="15"/>
      <c r="S278" s="15"/>
      <c r="T278" s="15"/>
      <c r="U278" s="15"/>
    </row>
    <row r="279" spans="3:21" hidden="1" x14ac:dyDescent="0.15">
      <c r="C279" s="290">
        <f t="shared" si="285"/>
        <v>0</v>
      </c>
      <c r="D279" s="633"/>
      <c r="E279" s="633"/>
      <c r="F279" s="696"/>
      <c r="G279" s="696"/>
      <c r="H279" s="696"/>
      <c r="I279" s="15"/>
      <c r="J279" s="15"/>
      <c r="K279" s="15"/>
      <c r="L279" s="15"/>
      <c r="M279" s="15"/>
      <c r="N279" s="15"/>
      <c r="O279" s="15"/>
      <c r="P279" s="15"/>
      <c r="Q279" s="15"/>
      <c r="R279" s="15"/>
      <c r="S279" s="15"/>
      <c r="T279" s="15"/>
      <c r="U279" s="15"/>
    </row>
    <row r="280" spans="3:21" hidden="1" x14ac:dyDescent="0.15">
      <c r="C280" s="633"/>
      <c r="D280" s="633"/>
      <c r="E280" s="633"/>
      <c r="F280" s="696"/>
      <c r="G280" s="696"/>
      <c r="H280" s="696"/>
      <c r="I280" s="15"/>
      <c r="J280" s="15"/>
      <c r="K280" s="15"/>
      <c r="L280" s="15"/>
      <c r="M280" s="15"/>
      <c r="N280" s="15"/>
      <c r="O280" s="15"/>
      <c r="P280" s="15"/>
      <c r="Q280" s="15"/>
      <c r="R280" s="15"/>
      <c r="S280" s="15"/>
      <c r="T280" s="15"/>
      <c r="U280" s="15"/>
    </row>
    <row r="281" spans="3:21" hidden="1" x14ac:dyDescent="0.15">
      <c r="C281" s="36" t="str">
        <f t="shared" si="285"/>
        <v>Refinance Valuation</v>
      </c>
      <c r="D281" s="633"/>
      <c r="E281" s="633"/>
      <c r="F281" s="696">
        <f ca="1">F104</f>
        <v>2775218.2545454549</v>
      </c>
      <c r="G281" s="696">
        <f t="shared" ref="G281:J281" ca="1" si="289">G104</f>
        <v>4767270.2181818178</v>
      </c>
      <c r="H281" s="696">
        <f t="shared" ca="1" si="289"/>
        <v>7047986.8756363634</v>
      </c>
      <c r="I281" s="696">
        <f t="shared" ca="1" si="289"/>
        <v>9444265.1571490895</v>
      </c>
      <c r="J281" s="696">
        <f t="shared" ca="1" si="289"/>
        <v>11840208.658837525</v>
      </c>
      <c r="K281" s="15"/>
      <c r="L281" s="15"/>
      <c r="M281" s="15"/>
      <c r="N281" s="15"/>
      <c r="O281" s="15"/>
      <c r="P281" s="15"/>
      <c r="Q281" s="15"/>
      <c r="R281" s="15"/>
      <c r="S281" s="15"/>
      <c r="T281" s="15"/>
      <c r="U281" s="15"/>
    </row>
    <row r="282" spans="3:21" hidden="1" x14ac:dyDescent="0.15">
      <c r="C282" s="35"/>
      <c r="D282" s="633"/>
      <c r="E282" s="633"/>
      <c r="F282" s="696"/>
      <c r="G282" s="696"/>
      <c r="H282" s="696"/>
      <c r="I282" s="15"/>
      <c r="J282" s="15"/>
      <c r="K282" s="15"/>
      <c r="L282" s="15"/>
      <c r="M282" s="15"/>
      <c r="N282" s="15"/>
      <c r="O282" s="15"/>
      <c r="P282" s="15"/>
      <c r="Q282" s="15"/>
      <c r="R282" s="15"/>
      <c r="S282" s="15"/>
      <c r="T282" s="15"/>
      <c r="U282" s="15"/>
    </row>
    <row r="283" spans="3:21" hidden="1" x14ac:dyDescent="0.15">
      <c r="C283" s="636" t="str">
        <f t="shared" si="285"/>
        <v>Net Cash Flow after Debt Service</v>
      </c>
      <c r="D283" s="633"/>
      <c r="E283" s="633"/>
      <c r="F283" s="696">
        <f ca="1">F106</f>
        <v>-43572.801988743129</v>
      </c>
      <c r="G283" s="696">
        <f t="shared" ref="G283:J283" ca="1" si="290">G106</f>
        <v>65990.05601125682</v>
      </c>
      <c r="H283" s="696">
        <f t="shared" ca="1" si="290"/>
        <v>191429.47217125684</v>
      </c>
      <c r="I283" s="696">
        <f t="shared" ca="1" si="290"/>
        <v>323224.77765445679</v>
      </c>
      <c r="J283" s="696">
        <f t="shared" ca="1" si="290"/>
        <v>455001.67024732073</v>
      </c>
      <c r="K283" s="15"/>
      <c r="L283" s="15"/>
      <c r="M283" s="15"/>
      <c r="N283" s="15"/>
      <c r="O283" s="15"/>
      <c r="P283" s="15"/>
      <c r="Q283" s="15"/>
      <c r="R283" s="15"/>
      <c r="S283" s="15"/>
      <c r="T283" s="15"/>
      <c r="U283" s="15"/>
    </row>
    <row r="284" spans="3:21" hidden="1" x14ac:dyDescent="0.15">
      <c r="C284" s="636" t="str">
        <f t="shared" si="285"/>
        <v>Cash from Sale of POH</v>
      </c>
      <c r="D284" s="633"/>
      <c r="E284" s="633"/>
      <c r="F284" s="696">
        <f>F107</f>
        <v>0</v>
      </c>
      <c r="G284" s="696">
        <f t="shared" ref="G284:J287" si="291">G107</f>
        <v>0</v>
      </c>
      <c r="H284" s="696">
        <f t="shared" si="291"/>
        <v>0</v>
      </c>
      <c r="I284" s="696">
        <f t="shared" si="291"/>
        <v>0</v>
      </c>
      <c r="J284" s="696">
        <f t="shared" si="291"/>
        <v>0</v>
      </c>
      <c r="K284" s="15"/>
      <c r="L284" s="15"/>
      <c r="M284" s="15"/>
      <c r="N284" s="15"/>
      <c r="O284" s="15"/>
      <c r="P284" s="15"/>
      <c r="Q284" s="15"/>
      <c r="R284" s="15"/>
      <c r="S284" s="15"/>
      <c r="T284" s="15"/>
      <c r="U284" s="15"/>
    </row>
    <row r="285" spans="3:21" hidden="1" x14ac:dyDescent="0.15">
      <c r="C285" s="636" t="str">
        <f t="shared" si="285"/>
        <v>Rental Income from POH</v>
      </c>
      <c r="D285" s="633"/>
      <c r="E285" s="633"/>
      <c r="F285" s="696">
        <f>F108</f>
        <v>54225.599999999999</v>
      </c>
      <c r="G285" s="696">
        <f t="shared" si="291"/>
        <v>54225.599999999999</v>
      </c>
      <c r="H285" s="696">
        <f t="shared" si="291"/>
        <v>54225.599999999999</v>
      </c>
      <c r="I285" s="696">
        <f t="shared" si="291"/>
        <v>54225.599999999999</v>
      </c>
      <c r="J285" s="696">
        <f t="shared" si="291"/>
        <v>54225.599999999999</v>
      </c>
      <c r="K285" s="15"/>
      <c r="L285" s="15"/>
      <c r="M285" s="15"/>
      <c r="N285" s="15"/>
      <c r="O285" s="15"/>
      <c r="P285" s="15"/>
      <c r="Q285" s="15"/>
      <c r="R285" s="15"/>
      <c r="S285" s="15"/>
      <c r="T285" s="15"/>
      <c r="U285" s="15"/>
    </row>
    <row r="286" spans="3:21" hidden="1" x14ac:dyDescent="0.15">
      <c r="C286" s="636" t="str">
        <f t="shared" si="285"/>
        <v>Note Income from POH</v>
      </c>
      <c r="D286" s="633"/>
      <c r="E286" s="633"/>
      <c r="F286" s="696">
        <f>F109</f>
        <v>0</v>
      </c>
      <c r="G286" s="696">
        <f t="shared" si="291"/>
        <v>0</v>
      </c>
      <c r="H286" s="696">
        <f t="shared" si="291"/>
        <v>0</v>
      </c>
      <c r="I286" s="696">
        <f t="shared" si="291"/>
        <v>0</v>
      </c>
      <c r="J286" s="696">
        <f t="shared" si="291"/>
        <v>0</v>
      </c>
      <c r="K286" s="15"/>
      <c r="L286" s="15"/>
      <c r="M286" s="15"/>
      <c r="N286" s="15"/>
      <c r="O286" s="15"/>
      <c r="P286" s="15"/>
      <c r="Q286" s="15"/>
      <c r="R286" s="15"/>
      <c r="S286" s="15"/>
      <c r="T286" s="15"/>
      <c r="U286" s="15"/>
    </row>
    <row r="287" spans="3:21" hidden="1" x14ac:dyDescent="0.15">
      <c r="C287" s="636" t="str">
        <f t="shared" si="285"/>
        <v>POH Seller Carry Note</v>
      </c>
      <c r="D287" s="633"/>
      <c r="E287" s="633"/>
      <c r="F287" s="696">
        <f>F110</f>
        <v>0</v>
      </c>
      <c r="G287" s="696">
        <f t="shared" si="291"/>
        <v>0</v>
      </c>
      <c r="H287" s="696">
        <f t="shared" si="291"/>
        <v>0</v>
      </c>
      <c r="I287" s="696">
        <f t="shared" si="291"/>
        <v>0</v>
      </c>
      <c r="J287" s="696">
        <f t="shared" si="291"/>
        <v>0</v>
      </c>
      <c r="K287" s="15"/>
      <c r="L287" s="15"/>
      <c r="M287" s="15"/>
      <c r="N287" s="15"/>
      <c r="O287" s="15"/>
      <c r="P287" s="15"/>
      <c r="Q287" s="15"/>
      <c r="R287" s="15"/>
      <c r="S287" s="15"/>
      <c r="T287" s="15"/>
      <c r="U287" s="15"/>
    </row>
    <row r="288" spans="3:21" hidden="1" x14ac:dyDescent="0.15">
      <c r="C288" s="636" t="str">
        <f t="shared" si="285"/>
        <v>Return of Capital (other)</v>
      </c>
      <c r="D288" s="633"/>
      <c r="E288" s="633"/>
      <c r="F288" s="696">
        <f t="shared" ref="F288:F289" si="292">F115</f>
        <v>0</v>
      </c>
      <c r="G288" s="696">
        <f t="shared" ref="G288:I289" si="293">G115</f>
        <v>0</v>
      </c>
      <c r="H288" s="696">
        <f t="shared" si="293"/>
        <v>0</v>
      </c>
      <c r="I288" s="696">
        <f t="shared" si="293"/>
        <v>0</v>
      </c>
      <c r="J288" s="696"/>
      <c r="K288" s="15"/>
      <c r="L288" s="15"/>
      <c r="M288" s="15"/>
      <c r="N288" s="15"/>
      <c r="O288" s="15"/>
      <c r="P288" s="15"/>
      <c r="Q288" s="15"/>
      <c r="R288" s="15"/>
      <c r="S288" s="15"/>
      <c r="T288" s="15"/>
      <c r="U288" s="15"/>
    </row>
    <row r="289" spans="3:28" hidden="1" x14ac:dyDescent="0.15">
      <c r="C289" s="636" t="str">
        <f t="shared" si="285"/>
        <v>Sale Proceeds at Exit</v>
      </c>
      <c r="D289" s="633"/>
      <c r="E289" s="633"/>
      <c r="F289" s="696">
        <f t="shared" si="292"/>
        <v>0</v>
      </c>
      <c r="G289" s="696">
        <f t="shared" si="293"/>
        <v>0</v>
      </c>
      <c r="H289" s="696">
        <f t="shared" si="293"/>
        <v>0</v>
      </c>
      <c r="I289" s="696">
        <f t="shared" si="293"/>
        <v>0</v>
      </c>
      <c r="J289" s="696">
        <f ca="1">+(J269/RefiCap)*(1-Cost_of_Sale)</f>
        <v>11485002.399072399</v>
      </c>
      <c r="K289" s="15"/>
      <c r="L289" s="15"/>
      <c r="M289" s="15"/>
      <c r="N289" s="15"/>
      <c r="O289" s="15"/>
      <c r="P289" s="15"/>
      <c r="Q289" s="15"/>
      <c r="R289" s="15"/>
      <c r="S289" s="15"/>
      <c r="T289" s="15"/>
      <c r="U289" s="15"/>
      <c r="V289" s="633"/>
      <c r="W289" s="633"/>
      <c r="X289" s="633"/>
      <c r="Y289" s="633"/>
      <c r="Z289" s="633"/>
      <c r="AA289" s="633"/>
      <c r="AB289" s="633"/>
    </row>
    <row r="290" spans="3:28" hidden="1" x14ac:dyDescent="0.15">
      <c r="C290" s="636" t="str">
        <f t="shared" si="285"/>
        <v>Repay Outstanding Loan</v>
      </c>
      <c r="D290" s="633"/>
      <c r="E290" s="633"/>
      <c r="F290" s="696"/>
      <c r="G290" s="696"/>
      <c r="H290" s="696"/>
      <c r="I290" s="696"/>
      <c r="J290" s="696">
        <f>-J277</f>
        <v>-2615731.6796894548</v>
      </c>
      <c r="K290" s="15"/>
      <c r="L290" s="15"/>
      <c r="M290" s="15"/>
      <c r="N290" s="15"/>
      <c r="O290" s="15"/>
      <c r="P290" s="15"/>
      <c r="Q290" s="15"/>
      <c r="R290" s="15"/>
      <c r="S290" s="15"/>
      <c r="T290" s="15"/>
      <c r="U290" s="15"/>
      <c r="V290" s="633"/>
      <c r="W290" s="633"/>
      <c r="X290" s="633"/>
      <c r="Y290" s="633"/>
      <c r="Z290" s="633"/>
      <c r="AA290" s="633"/>
      <c r="AB290" s="633"/>
    </row>
    <row r="291" spans="3:28" ht="14" hidden="1" thickBot="1" x14ac:dyDescent="0.2">
      <c r="C291" s="743" t="str">
        <f t="shared" si="285"/>
        <v>Pretax Income Available for Distribution</v>
      </c>
      <c r="D291" s="633"/>
      <c r="E291" s="696">
        <f>E242</f>
        <v>-3909999.8119999999</v>
      </c>
      <c r="F291" s="696">
        <f ca="1">SUM(F283:F290)</f>
        <v>10652.798011256869</v>
      </c>
      <c r="G291" s="696">
        <f t="shared" ref="G291:J291" ca="1" si="294">SUM(G283:G290)</f>
        <v>120215.65601125683</v>
      </c>
      <c r="H291" s="696">
        <f t="shared" ca="1" si="294"/>
        <v>245655.07217125685</v>
      </c>
      <c r="I291" s="696">
        <f t="shared" ca="1" si="294"/>
        <v>377450.37765445677</v>
      </c>
      <c r="J291" s="696">
        <f t="shared" ca="1" si="294"/>
        <v>9378497.989630267</v>
      </c>
      <c r="K291" s="15"/>
      <c r="L291" s="15"/>
      <c r="M291" s="15"/>
      <c r="N291" s="15"/>
      <c r="O291" s="15"/>
      <c r="P291" s="15"/>
      <c r="Q291" s="15"/>
      <c r="R291" s="15"/>
      <c r="S291" s="15"/>
      <c r="T291" s="15"/>
      <c r="U291" s="15"/>
      <c r="V291" s="633"/>
      <c r="W291" s="633"/>
      <c r="X291" s="633"/>
      <c r="Y291" s="633"/>
      <c r="Z291" s="633"/>
      <c r="AA291" s="633"/>
      <c r="AB291" s="633"/>
    </row>
    <row r="292" spans="3:28" ht="14" hidden="1" thickTop="1" x14ac:dyDescent="0.15">
      <c r="C292" s="633"/>
      <c r="D292" s="633"/>
      <c r="E292" s="633"/>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3:28" hidden="1" x14ac:dyDescent="0.15">
      <c r="C293" s="11" t="s">
        <v>276</v>
      </c>
      <c r="D293" s="633"/>
      <c r="E293" s="697">
        <f ca="1">IRR(E291:J291)</f>
        <v>0.21708354580343658</v>
      </c>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3:28" hidden="1" x14ac:dyDescent="0.15">
      <c r="C294" s="636"/>
      <c r="D294" s="633"/>
      <c r="E294" s="633"/>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3:28" hidden="1" x14ac:dyDescent="0.15">
      <c r="C295" s="11" t="str">
        <f t="shared" ref="C295:C308" si="295">+C246</f>
        <v>Distributions</v>
      </c>
      <c r="D295" s="633"/>
      <c r="E295" s="633"/>
      <c r="F295" s="13"/>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3:28" hidden="1" x14ac:dyDescent="0.15">
      <c r="C296" s="636" t="str">
        <f t="shared" si="295"/>
        <v>Investor Preferred Return</v>
      </c>
      <c r="D296" s="633"/>
      <c r="E296" s="633"/>
      <c r="F296" s="13"/>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3:28" hidden="1" x14ac:dyDescent="0.15">
      <c r="C297" s="23" t="str">
        <f t="shared" si="295"/>
        <v>Beginning balance</v>
      </c>
      <c r="D297" s="633"/>
      <c r="E297" s="633"/>
      <c r="F297" s="13">
        <f>-E291</f>
        <v>3909999.8119999999</v>
      </c>
      <c r="G297" s="13">
        <f ca="1">+F300</f>
        <v>4094847.0045887432</v>
      </c>
      <c r="H297" s="13">
        <f t="shared" ref="H297:J297" ca="1" si="296">+G300</f>
        <v>4179373.6988069233</v>
      </c>
      <c r="I297" s="13">
        <f t="shared" ca="1" si="296"/>
        <v>4142687.3115760125</v>
      </c>
      <c r="J297" s="13">
        <f t="shared" ca="1" si="296"/>
        <v>3972371.2995003564</v>
      </c>
      <c r="K297" s="15"/>
      <c r="L297" s="15"/>
      <c r="M297" s="15"/>
      <c r="N297" s="15"/>
      <c r="O297" s="15"/>
      <c r="P297" s="15"/>
      <c r="Q297" s="15"/>
      <c r="R297" s="15"/>
      <c r="S297" s="15"/>
      <c r="T297" s="15"/>
      <c r="U297" s="15"/>
      <c r="V297" s="15"/>
      <c r="W297" s="15"/>
      <c r="X297" s="15"/>
      <c r="Y297" s="15"/>
      <c r="Z297" s="15"/>
      <c r="AA297" s="15"/>
      <c r="AB297" s="15"/>
    </row>
    <row r="298" spans="3:28" hidden="1" x14ac:dyDescent="0.15">
      <c r="C298" s="23" t="str">
        <f t="shared" si="295"/>
        <v>Preferred return</v>
      </c>
      <c r="D298" s="633"/>
      <c r="E298" s="633"/>
      <c r="F298" s="13">
        <f>+F297*InvestorPref</f>
        <v>195499.99060000002</v>
      </c>
      <c r="G298" s="13">
        <f ca="1">+G297*InvestorPref</f>
        <v>204742.35022943717</v>
      </c>
      <c r="H298" s="13">
        <f ca="1">+H297*InvestorPref</f>
        <v>208968.68494034617</v>
      </c>
      <c r="I298" s="13">
        <f ca="1">+I297*InvestorPref</f>
        <v>207134.36557880064</v>
      </c>
      <c r="J298" s="13">
        <f ca="1">+J297*InvestorPref</f>
        <v>198618.56497501783</v>
      </c>
      <c r="K298" s="15"/>
      <c r="L298" s="15"/>
      <c r="M298" s="15"/>
      <c r="N298" s="15"/>
      <c r="O298" s="15"/>
      <c r="P298" s="15"/>
      <c r="Q298" s="15"/>
      <c r="R298" s="15"/>
      <c r="S298" s="15"/>
      <c r="T298" s="15"/>
      <c r="U298" s="15"/>
      <c r="V298" s="15"/>
      <c r="W298" s="15"/>
      <c r="X298" s="15"/>
      <c r="Y298" s="15"/>
      <c r="Z298" s="15"/>
      <c r="AA298" s="15"/>
      <c r="AB298" s="15"/>
    </row>
    <row r="299" spans="3:28" hidden="1" x14ac:dyDescent="0.15">
      <c r="C299" s="23" t="str">
        <f t="shared" si="295"/>
        <v>Payment</v>
      </c>
      <c r="D299" s="633"/>
      <c r="E299" s="633"/>
      <c r="F299" s="13">
        <f ca="1">MAX(-F297-F298,-F291)</f>
        <v>-10652.798011256869</v>
      </c>
      <c r="G299" s="13">
        <f t="shared" ref="G299:J299" ca="1" si="297">MAX(-G297-G298,-G291)</f>
        <v>-120215.65601125683</v>
      </c>
      <c r="H299" s="13">
        <f t="shared" ca="1" si="297"/>
        <v>-245655.07217125685</v>
      </c>
      <c r="I299" s="13">
        <f t="shared" ca="1" si="297"/>
        <v>-377450.37765445677</v>
      </c>
      <c r="J299" s="13">
        <f t="shared" ca="1" si="297"/>
        <v>-4170989.8644753741</v>
      </c>
      <c r="K299" s="15"/>
      <c r="L299" s="15"/>
      <c r="M299" s="15"/>
      <c r="N299" s="15"/>
      <c r="O299" s="15"/>
      <c r="P299" s="15"/>
      <c r="Q299" s="15"/>
      <c r="R299" s="15"/>
      <c r="S299" s="15"/>
      <c r="T299" s="15"/>
      <c r="U299" s="15"/>
      <c r="V299" s="15"/>
      <c r="W299" s="15"/>
      <c r="X299" s="15"/>
      <c r="Y299" s="15"/>
      <c r="Z299" s="15"/>
      <c r="AA299" s="15"/>
      <c r="AB299" s="15"/>
    </row>
    <row r="300" spans="3:28" hidden="1" x14ac:dyDescent="0.15">
      <c r="C300" s="23" t="str">
        <f t="shared" si="295"/>
        <v>Ending balance</v>
      </c>
      <c r="D300" s="633"/>
      <c r="E300" s="633"/>
      <c r="F300" s="782">
        <f ca="1">SUM(F297:F299)</f>
        <v>4094847.0045887432</v>
      </c>
      <c r="G300" s="782">
        <f t="shared" ref="G300:J300" ca="1" si="298">SUM(G297:G299)</f>
        <v>4179373.6988069233</v>
      </c>
      <c r="H300" s="782">
        <f t="shared" ca="1" si="298"/>
        <v>4142687.3115760125</v>
      </c>
      <c r="I300" s="782">
        <f t="shared" ca="1" si="298"/>
        <v>3972371.2995003564</v>
      </c>
      <c r="J300" s="782">
        <f t="shared" ca="1" si="298"/>
        <v>0</v>
      </c>
      <c r="K300" s="15"/>
      <c r="L300" s="15"/>
      <c r="M300" s="15"/>
      <c r="N300" s="15"/>
      <c r="O300" s="15"/>
      <c r="P300" s="15"/>
      <c r="Q300" s="15"/>
      <c r="R300" s="15"/>
      <c r="S300" s="15"/>
      <c r="T300" s="15"/>
      <c r="U300" s="15"/>
      <c r="V300" s="15"/>
      <c r="W300" s="15"/>
      <c r="X300" s="15"/>
      <c r="Y300" s="15"/>
      <c r="Z300" s="15"/>
      <c r="AA300" s="15"/>
      <c r="AB300" s="15"/>
    </row>
    <row r="301" spans="3:28" hidden="1" x14ac:dyDescent="0.15">
      <c r="C301" s="636" t="str">
        <f t="shared" si="295"/>
        <v>Available After Pref / Return Of Capital</v>
      </c>
      <c r="D301" s="633"/>
      <c r="E301" s="633"/>
      <c r="F301" s="13">
        <f ca="1">+F291+F299</f>
        <v>0</v>
      </c>
      <c r="G301" s="13">
        <f t="shared" ref="G301:J301" ca="1" si="299">+G291+G299</f>
        <v>0</v>
      </c>
      <c r="H301" s="13">
        <f t="shared" ca="1" si="299"/>
        <v>0</v>
      </c>
      <c r="I301" s="13">
        <f t="shared" ca="1" si="299"/>
        <v>0</v>
      </c>
      <c r="J301" s="13">
        <f t="shared" ca="1" si="299"/>
        <v>5207508.1251548929</v>
      </c>
      <c r="K301" s="15"/>
      <c r="L301" s="15"/>
      <c r="M301" s="15"/>
      <c r="N301" s="15"/>
      <c r="O301" s="15"/>
      <c r="P301" s="15"/>
      <c r="Q301" s="15"/>
      <c r="R301" s="15"/>
      <c r="S301" s="15"/>
      <c r="T301" s="15"/>
      <c r="U301" s="15"/>
      <c r="V301" s="15"/>
      <c r="W301" s="15"/>
      <c r="X301" s="15"/>
      <c r="Y301" s="15"/>
      <c r="Z301" s="15"/>
      <c r="AA301" s="15"/>
      <c r="AB301" s="15"/>
    </row>
    <row r="302" spans="3:28" hidden="1" x14ac:dyDescent="0.15">
      <c r="C302" s="41" t="str">
        <f t="shared" si="295"/>
        <v>Split</v>
      </c>
      <c r="D302" s="633"/>
      <c r="E302" s="633"/>
      <c r="F302" s="13"/>
      <c r="G302" s="13"/>
      <c r="H302" s="13"/>
      <c r="I302" s="15"/>
      <c r="J302" s="15"/>
      <c r="K302" s="15"/>
      <c r="L302" s="15"/>
      <c r="M302" s="15"/>
      <c r="N302" s="15"/>
      <c r="O302" s="15"/>
      <c r="P302" s="15"/>
      <c r="Q302" s="15"/>
      <c r="R302" s="15"/>
      <c r="S302" s="15"/>
      <c r="T302" s="15"/>
      <c r="U302" s="15"/>
      <c r="V302" s="15"/>
      <c r="W302" s="15"/>
      <c r="X302" s="15"/>
      <c r="Y302" s="15"/>
      <c r="Z302" s="15"/>
      <c r="AA302" s="15"/>
      <c r="AB302" s="15"/>
    </row>
    <row r="303" spans="3:28" hidden="1" x14ac:dyDescent="0.15">
      <c r="C303" s="695" t="str">
        <f t="shared" si="295"/>
        <v>Investor</v>
      </c>
      <c r="D303" s="633"/>
      <c r="E303" s="633"/>
      <c r="F303" s="13">
        <f ca="1">+F301*InvestorPromote</f>
        <v>0</v>
      </c>
      <c r="G303" s="13">
        <f ca="1">+G301*InvestorPromote</f>
        <v>0</v>
      </c>
      <c r="H303" s="13">
        <f ca="1">+H301*InvestorPromote</f>
        <v>0</v>
      </c>
      <c r="I303" s="13">
        <f ca="1">+I301*InvestorPromote</f>
        <v>0</v>
      </c>
      <c r="J303" s="13">
        <f ca="1">+J301*InvestorPromote</f>
        <v>2603754.0625774465</v>
      </c>
      <c r="K303" s="15"/>
      <c r="L303" s="15"/>
      <c r="M303" s="15"/>
      <c r="N303" s="15"/>
      <c r="O303" s="15"/>
      <c r="P303" s="15"/>
      <c r="Q303" s="15"/>
      <c r="R303" s="15"/>
      <c r="S303" s="15"/>
      <c r="T303" s="15"/>
      <c r="U303" s="15"/>
      <c r="V303" s="15"/>
      <c r="W303" s="15"/>
      <c r="X303" s="15"/>
      <c r="Y303" s="15"/>
      <c r="Z303" s="15"/>
      <c r="AA303" s="15"/>
      <c r="AB303" s="15"/>
    </row>
    <row r="304" spans="3:28" hidden="1" x14ac:dyDescent="0.15">
      <c r="C304" s="695" t="str">
        <f t="shared" si="295"/>
        <v>BVG</v>
      </c>
      <c r="D304" s="633"/>
      <c r="E304" s="633"/>
      <c r="F304" s="13">
        <f ca="1">+F301*BVGPromote</f>
        <v>0</v>
      </c>
      <c r="G304" s="13">
        <f ca="1">+G301*BVGPromote</f>
        <v>0</v>
      </c>
      <c r="H304" s="13">
        <f ca="1">+H301*BVGPromote</f>
        <v>0</v>
      </c>
      <c r="I304" s="13">
        <f ca="1">+I301*BVGPromote</f>
        <v>0</v>
      </c>
      <c r="J304" s="13">
        <f ca="1">+J301*BVGPromote</f>
        <v>2603754.0625774465</v>
      </c>
      <c r="K304" s="15"/>
      <c r="L304" s="15"/>
      <c r="M304" s="15"/>
      <c r="N304" s="15"/>
      <c r="O304" s="15"/>
      <c r="P304" s="15"/>
      <c r="Q304" s="15"/>
      <c r="R304" s="15"/>
      <c r="S304" s="15"/>
      <c r="T304" s="15"/>
      <c r="U304" s="15"/>
      <c r="V304" s="15"/>
      <c r="W304" s="15"/>
      <c r="X304" s="15"/>
      <c r="Y304" s="15"/>
      <c r="Z304" s="15"/>
      <c r="AA304" s="15"/>
      <c r="AB304" s="15"/>
    </row>
    <row r="305" spans="3:28" hidden="1" x14ac:dyDescent="0.15">
      <c r="C305" s="41" t="str">
        <f t="shared" si="295"/>
        <v>Total</v>
      </c>
      <c r="D305" s="633"/>
      <c r="E305" s="633"/>
      <c r="F305" s="13"/>
      <c r="G305" s="13"/>
      <c r="H305" s="13"/>
      <c r="I305" s="15"/>
      <c r="J305" s="15"/>
      <c r="K305" s="15"/>
      <c r="L305" s="15"/>
      <c r="M305" s="15"/>
      <c r="N305" s="15"/>
      <c r="O305" s="15"/>
      <c r="P305" s="15"/>
      <c r="Q305" s="15"/>
      <c r="R305" s="15"/>
      <c r="S305" s="15"/>
      <c r="T305" s="15"/>
      <c r="U305" s="15"/>
      <c r="V305" s="15"/>
      <c r="W305" s="15"/>
      <c r="X305" s="15"/>
      <c r="Y305" s="15"/>
      <c r="Z305" s="15"/>
      <c r="AA305" s="15"/>
      <c r="AB305" s="15"/>
    </row>
    <row r="306" spans="3:28" hidden="1" x14ac:dyDescent="0.15">
      <c r="C306" s="695" t="str">
        <f t="shared" si="295"/>
        <v>Investor</v>
      </c>
      <c r="D306" s="633"/>
      <c r="E306" s="633"/>
      <c r="F306" s="13">
        <f ca="1">-F299+F303</f>
        <v>10652.798011256869</v>
      </c>
      <c r="G306" s="13">
        <f t="shared" ref="G306:H306" ca="1" si="300">-G299+G303</f>
        <v>120215.65601125683</v>
      </c>
      <c r="H306" s="13">
        <f t="shared" ca="1" si="300"/>
        <v>245655.07217125685</v>
      </c>
      <c r="I306" s="13">
        <f t="shared" ref="I306:J306" ca="1" si="301">-I299+I303</f>
        <v>377450.37765445677</v>
      </c>
      <c r="J306" s="13">
        <f t="shared" ca="1" si="301"/>
        <v>6774743.9270528201</v>
      </c>
      <c r="K306" s="15"/>
      <c r="L306" s="15"/>
      <c r="M306" s="15"/>
      <c r="N306" s="15"/>
      <c r="O306" s="15"/>
      <c r="P306" s="15"/>
      <c r="Q306" s="15"/>
      <c r="R306" s="15"/>
      <c r="S306" s="15"/>
      <c r="T306" s="15"/>
      <c r="U306" s="15"/>
      <c r="V306" s="15"/>
      <c r="W306" s="15"/>
      <c r="X306" s="15"/>
      <c r="Y306" s="15"/>
      <c r="Z306" s="15"/>
      <c r="AA306" s="15"/>
      <c r="AB306" s="15"/>
    </row>
    <row r="307" spans="3:28" hidden="1" x14ac:dyDescent="0.15">
      <c r="C307" s="695" t="str">
        <f t="shared" si="295"/>
        <v>BVG</v>
      </c>
      <c r="D307" s="633"/>
      <c r="E307" s="633"/>
      <c r="F307" s="13">
        <f ca="1">+F304</f>
        <v>0</v>
      </c>
      <c r="G307" s="13">
        <f t="shared" ref="G307:H307" ca="1" si="302">+G304</f>
        <v>0</v>
      </c>
      <c r="H307" s="13">
        <f t="shared" ca="1" si="302"/>
        <v>0</v>
      </c>
      <c r="I307" s="13">
        <f t="shared" ref="I307:J307" ca="1" si="303">+I304</f>
        <v>0</v>
      </c>
      <c r="J307" s="13">
        <f t="shared" ca="1" si="303"/>
        <v>2603754.0625774465</v>
      </c>
      <c r="K307" s="15"/>
      <c r="L307" s="15"/>
      <c r="M307" s="15"/>
      <c r="N307" s="15"/>
      <c r="O307" s="15"/>
      <c r="P307" s="15"/>
      <c r="Q307" s="15"/>
      <c r="R307" s="15"/>
      <c r="S307" s="15"/>
      <c r="T307" s="15"/>
      <c r="U307" s="15"/>
      <c r="V307" s="15"/>
      <c r="W307" s="15"/>
      <c r="X307" s="15"/>
      <c r="Y307" s="15"/>
      <c r="Z307" s="15"/>
      <c r="AA307" s="15"/>
      <c r="AB307" s="15"/>
    </row>
    <row r="308" spans="3:28" ht="14" hidden="1" x14ac:dyDescent="0.15">
      <c r="C308" s="131" t="str">
        <f t="shared" si="295"/>
        <v>Total Project Cash Flow</v>
      </c>
      <c r="D308" s="633"/>
      <c r="E308" s="696">
        <f>E291</f>
        <v>-3909999.8119999999</v>
      </c>
      <c r="F308" s="13">
        <f ca="1">+F306</f>
        <v>10652.798011256869</v>
      </c>
      <c r="G308" s="13">
        <f t="shared" ref="G308:H308" ca="1" si="304">+G306</f>
        <v>120215.65601125683</v>
      </c>
      <c r="H308" s="13">
        <f t="shared" ca="1" si="304"/>
        <v>245655.07217125685</v>
      </c>
      <c r="I308" s="13">
        <f t="shared" ref="I308:J308" ca="1" si="305">+I306</f>
        <v>377450.37765445677</v>
      </c>
      <c r="J308" s="13">
        <f t="shared" ca="1" si="305"/>
        <v>6774743.9270528201</v>
      </c>
      <c r="K308" s="15"/>
      <c r="L308" s="15"/>
      <c r="M308" s="15"/>
      <c r="N308" s="15"/>
      <c r="O308" s="15"/>
      <c r="P308" s="15"/>
      <c r="Q308" s="15"/>
      <c r="R308" s="15"/>
      <c r="S308" s="15"/>
      <c r="T308" s="15"/>
      <c r="U308" s="15"/>
      <c r="V308" s="15"/>
      <c r="W308" s="15"/>
      <c r="X308" s="15"/>
      <c r="Y308" s="15"/>
      <c r="Z308" s="15"/>
      <c r="AA308" s="15"/>
      <c r="AB308" s="15"/>
    </row>
    <row r="309" spans="3:28" hidden="1" x14ac:dyDescent="0.15">
      <c r="C309" s="633"/>
      <c r="D309" s="633"/>
      <c r="E309" s="633"/>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3:28" hidden="1" x14ac:dyDescent="0.15">
      <c r="C310" s="633" t="s">
        <v>277</v>
      </c>
      <c r="D310" s="633"/>
      <c r="E310" s="697">
        <f ca="1">IRR(E308:J308)</f>
        <v>0.14602011071631016</v>
      </c>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3:28" hidden="1" x14ac:dyDescent="0.15">
      <c r="C311" s="633" t="str">
        <f>+C262</f>
        <v>Investor Multiple</v>
      </c>
      <c r="D311" s="633"/>
      <c r="E311" s="707">
        <f ca="1">SUM(F308:J308)/-E308</f>
        <v>1.9255033741421181</v>
      </c>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3:28" hidden="1" x14ac:dyDescent="0.15">
      <c r="C312" s="633" t="str">
        <f>+C263</f>
        <v>investor cash</v>
      </c>
      <c r="D312" s="633"/>
      <c r="E312" s="689">
        <f ca="1">SUM(F308:J308)</f>
        <v>7528717.8309010472</v>
      </c>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3:28" hidden="1" x14ac:dyDescent="0.15">
      <c r="C313" s="633" t="s">
        <v>278</v>
      </c>
      <c r="E313" s="689">
        <f ca="1">SUM(F307:J307)</f>
        <v>2603754.0625774465</v>
      </c>
      <c r="F313" s="633"/>
      <c r="G313" s="633"/>
      <c r="H313" s="633"/>
      <c r="I313" s="633"/>
      <c r="J313" s="633"/>
      <c r="K313" s="633"/>
      <c r="L313" s="633"/>
      <c r="M313" s="633"/>
      <c r="N313" s="633"/>
      <c r="O313" s="633"/>
      <c r="P313" s="633"/>
      <c r="Q313" s="633"/>
      <c r="R313" s="633"/>
      <c r="S313" s="633"/>
      <c r="T313" s="633"/>
      <c r="U313" s="633"/>
      <c r="V313" s="633"/>
      <c r="W313" s="633"/>
      <c r="X313" s="633"/>
      <c r="Y313" s="633"/>
      <c r="Z313" s="633"/>
      <c r="AA313" s="633"/>
      <c r="AB313" s="633"/>
    </row>
    <row r="314" spans="3:28" hidden="1" x14ac:dyDescent="0.15">
      <c r="C314" s="633"/>
      <c r="E314" s="633"/>
      <c r="F314" s="633"/>
      <c r="G314" s="633"/>
      <c r="H314" s="633"/>
      <c r="I314" s="633"/>
      <c r="J314" s="633"/>
      <c r="K314" s="633"/>
      <c r="L314" s="633"/>
      <c r="M314" s="633"/>
      <c r="N314" s="633"/>
      <c r="O314" s="633"/>
      <c r="P314" s="633"/>
      <c r="Q314" s="633"/>
      <c r="R314" s="633"/>
      <c r="S314" s="633"/>
      <c r="T314" s="633"/>
      <c r="U314" s="633"/>
      <c r="V314" s="633"/>
      <c r="W314" s="633"/>
      <c r="X314" s="633"/>
      <c r="Y314" s="633"/>
      <c r="Z314" s="633"/>
      <c r="AA314" s="633"/>
      <c r="AB314" s="633"/>
    </row>
    <row r="315" spans="3:28" ht="12" hidden="1" customHeight="1" x14ac:dyDescent="0.15">
      <c r="C315" s="633"/>
      <c r="E315" s="633"/>
      <c r="F315" s="633"/>
      <c r="G315" s="633"/>
      <c r="H315" s="633"/>
      <c r="I315" s="633"/>
      <c r="J315" s="633"/>
      <c r="K315" s="633"/>
      <c r="L315" s="633"/>
      <c r="M315" s="633"/>
      <c r="N315" s="633"/>
      <c r="O315" s="633"/>
      <c r="P315" s="633"/>
      <c r="Q315" s="633"/>
      <c r="R315" s="633"/>
      <c r="S315" s="633"/>
      <c r="T315" s="633"/>
      <c r="U315" s="633"/>
      <c r="V315" s="633"/>
      <c r="W315" s="633"/>
      <c r="X315" s="633"/>
      <c r="Y315" s="633"/>
      <c r="Z315" s="633"/>
      <c r="AA315" s="633"/>
      <c r="AB315" s="633"/>
    </row>
    <row r="316" spans="3:28" ht="15" hidden="1" x14ac:dyDescent="0.2">
      <c r="C316" s="868" t="s">
        <v>279</v>
      </c>
      <c r="D316" s="868"/>
      <c r="E316" s="868"/>
      <c r="F316" s="868"/>
      <c r="G316" s="868"/>
      <c r="H316" s="868"/>
      <c r="I316" s="868"/>
      <c r="J316" s="868"/>
      <c r="K316" s="868"/>
      <c r="L316" s="868"/>
      <c r="M316" s="868"/>
      <c r="N316" s="868"/>
      <c r="O316" s="868"/>
      <c r="P316" s="15"/>
      <c r="Q316" s="15"/>
      <c r="R316" s="15"/>
      <c r="S316" s="15"/>
      <c r="T316" s="15"/>
      <c r="U316" s="15"/>
      <c r="V316" s="633"/>
      <c r="W316" s="633"/>
      <c r="X316" s="633"/>
      <c r="Y316" s="633"/>
      <c r="Z316" s="633"/>
      <c r="AA316" s="633"/>
      <c r="AB316" s="633"/>
    </row>
    <row r="317" spans="3:28" ht="15" hidden="1" x14ac:dyDescent="0.2">
      <c r="C317" s="325"/>
      <c r="D317" s="325"/>
      <c r="E317" s="325"/>
      <c r="F317" s="15" t="s">
        <v>28</v>
      </c>
      <c r="G317" s="15" t="s">
        <v>29</v>
      </c>
      <c r="H317" s="15" t="s">
        <v>30</v>
      </c>
      <c r="I317" s="15" t="s">
        <v>31</v>
      </c>
      <c r="J317" s="15" t="s">
        <v>45</v>
      </c>
      <c r="K317" s="15" t="s">
        <v>46</v>
      </c>
      <c r="L317" s="15" t="s">
        <v>280</v>
      </c>
      <c r="M317" s="15" t="s">
        <v>281</v>
      </c>
      <c r="N317" s="15" t="s">
        <v>282</v>
      </c>
      <c r="O317" s="15" t="s">
        <v>283</v>
      </c>
      <c r="P317" s="326"/>
      <c r="Q317" s="326"/>
      <c r="R317" s="326"/>
      <c r="S317" s="326"/>
      <c r="T317" s="326"/>
      <c r="U317" s="326"/>
      <c r="V317" s="633"/>
      <c r="W317" s="633"/>
      <c r="X317" s="633"/>
      <c r="Y317" s="633"/>
      <c r="Z317" s="633"/>
      <c r="AA317" s="633"/>
      <c r="AB317" s="633"/>
    </row>
    <row r="318" spans="3:28" hidden="1" x14ac:dyDescent="0.15">
      <c r="C318" s="633" t="s">
        <v>127</v>
      </c>
      <c r="D318" s="633"/>
      <c r="E318" s="633"/>
      <c r="F318" s="13">
        <f ca="1">+F87</f>
        <v>152637.00400000002</v>
      </c>
      <c r="G318" s="13">
        <f t="shared" ref="G318:O318" ca="1" si="306">+G87</f>
        <v>262199.86199999996</v>
      </c>
      <c r="H318" s="13">
        <f t="shared" ca="1" si="306"/>
        <v>387639.27815999999</v>
      </c>
      <c r="I318" s="13">
        <f t="shared" ca="1" si="306"/>
        <v>519434.58364319993</v>
      </c>
      <c r="J318" s="13">
        <f t="shared" ca="1" si="306"/>
        <v>651211.47623606387</v>
      </c>
      <c r="K318" s="13">
        <f t="shared" ca="1" si="306"/>
        <v>681775.94184078532</v>
      </c>
      <c r="L318" s="13">
        <f t="shared" ca="1" si="306"/>
        <v>713653.30620080105</v>
      </c>
      <c r="M318" s="13">
        <f t="shared" ca="1" si="306"/>
        <v>746897.89166894485</v>
      </c>
      <c r="N318" s="13">
        <f t="shared" ca="1" si="306"/>
        <v>781566.22962021711</v>
      </c>
      <c r="O318" s="13">
        <f t="shared" ca="1" si="306"/>
        <v>817717.14953523013</v>
      </c>
      <c r="P318" s="15"/>
      <c r="Q318" s="15"/>
      <c r="R318" s="15"/>
      <c r="S318" s="15"/>
      <c r="T318" s="15"/>
      <c r="U318" s="15"/>
      <c r="V318" s="633"/>
      <c r="W318" s="633"/>
      <c r="X318" s="633"/>
      <c r="Y318" s="633"/>
      <c r="Z318" s="633"/>
      <c r="AA318" s="633"/>
      <c r="AB318" s="633"/>
    </row>
    <row r="319" spans="3:28" hidden="1" x14ac:dyDescent="0.15">
      <c r="C319" s="633"/>
      <c r="D319" s="633"/>
      <c r="E319" s="633"/>
      <c r="F319" s="15"/>
      <c r="G319" s="15"/>
      <c r="H319" s="15"/>
      <c r="I319" s="15"/>
      <c r="J319" s="15"/>
      <c r="K319" s="15"/>
      <c r="L319" s="15"/>
      <c r="M319" s="15"/>
      <c r="N319" s="15"/>
      <c r="O319" s="15"/>
      <c r="P319" s="15"/>
      <c r="Q319" s="15"/>
      <c r="R319" s="15"/>
      <c r="S319" s="15"/>
      <c r="T319" s="15"/>
      <c r="U319" s="15"/>
      <c r="V319" s="633"/>
      <c r="W319" s="633"/>
      <c r="X319" s="633"/>
      <c r="Y319" s="633"/>
      <c r="Z319" s="633"/>
      <c r="AA319" s="633"/>
      <c r="AB319" s="633"/>
    </row>
    <row r="320" spans="3:28" hidden="1" x14ac:dyDescent="0.15">
      <c r="C320" s="11" t="str">
        <f>+C271</f>
        <v>Debt service</v>
      </c>
      <c r="D320" s="633"/>
      <c r="E320" s="633"/>
      <c r="F320" s="15"/>
      <c r="G320" s="15"/>
      <c r="H320" s="15"/>
      <c r="I320" s="15"/>
      <c r="J320" s="15"/>
      <c r="K320" s="15"/>
      <c r="L320" s="15"/>
      <c r="M320" s="15"/>
      <c r="N320" s="15"/>
      <c r="O320" s="15"/>
      <c r="P320" s="15"/>
      <c r="Q320" s="15"/>
      <c r="R320" s="15"/>
      <c r="S320" s="15"/>
      <c r="T320" s="15"/>
      <c r="U320" s="15"/>
      <c r="V320" s="633"/>
      <c r="W320" s="633"/>
      <c r="X320" s="633"/>
      <c r="Y320" s="633"/>
      <c r="Z320" s="633"/>
      <c r="AA320" s="633"/>
      <c r="AB320" s="633"/>
    </row>
    <row r="321" spans="3:21" hidden="1" x14ac:dyDescent="0.15">
      <c r="C321" s="32" t="str">
        <f t="shared" ref="C321:C340" si="307">+C272</f>
        <v>Additional debt/Refinance</v>
      </c>
      <c r="D321" s="633"/>
      <c r="E321" s="633"/>
      <c r="F321" s="696">
        <f t="shared" ref="F321:F326" si="308">F94</f>
        <v>2815000</v>
      </c>
      <c r="G321" s="696">
        <f t="shared" ref="G321:O321" si="309">G94</f>
        <v>2779443.123698757</v>
      </c>
      <c r="H321" s="696">
        <f t="shared" si="309"/>
        <v>2741857.0053554783</v>
      </c>
      <c r="I321" s="696">
        <f t="shared" si="309"/>
        <v>2702125.8354926864</v>
      </c>
      <c r="J321" s="696">
        <f t="shared" si="309"/>
        <v>2660127.1953498344</v>
      </c>
      <c r="K321" s="696">
        <f t="shared" si="309"/>
        <v>2615731.6796894548</v>
      </c>
      <c r="L321" s="696">
        <f t="shared" ca="1" si="309"/>
        <v>7601236.5920470944</v>
      </c>
      <c r="M321" s="696">
        <f t="shared" ca="1" si="309"/>
        <v>7500801.2844724748</v>
      </c>
      <c r="N321" s="696">
        <f t="shared" ca="1" si="309"/>
        <v>7394506.7275221087</v>
      </c>
      <c r="O321" s="696">
        <f t="shared" ca="1" si="309"/>
        <v>7282011.1011321535</v>
      </c>
      <c r="P321" s="15"/>
      <c r="Q321" s="15"/>
      <c r="R321" s="15"/>
      <c r="S321" s="15"/>
      <c r="T321" s="15"/>
      <c r="U321" s="15"/>
    </row>
    <row r="322" spans="3:21" hidden="1" x14ac:dyDescent="0.15">
      <c r="C322" s="636" t="str">
        <f t="shared" si="307"/>
        <v>Additional debt/Refinance</v>
      </c>
      <c r="D322" s="633"/>
      <c r="E322" s="633"/>
      <c r="F322" s="696">
        <f t="shared" si="308"/>
        <v>0</v>
      </c>
      <c r="G322" s="696">
        <f t="shared" ref="G322:O322" si="310">G95</f>
        <v>0</v>
      </c>
      <c r="H322" s="696">
        <f t="shared" si="310"/>
        <v>0</v>
      </c>
      <c r="I322" s="696">
        <f t="shared" si="310"/>
        <v>0</v>
      </c>
      <c r="J322" s="696">
        <f t="shared" si="310"/>
        <v>0</v>
      </c>
      <c r="K322" s="696">
        <f t="shared" ca="1" si="310"/>
        <v>5080403.9485549368</v>
      </c>
      <c r="L322" s="696">
        <f t="shared" si="310"/>
        <v>0</v>
      </c>
      <c r="M322" s="696">
        <f t="shared" si="310"/>
        <v>0</v>
      </c>
      <c r="N322" s="696">
        <f t="shared" si="310"/>
        <v>0</v>
      </c>
      <c r="O322" s="696">
        <f t="shared" si="310"/>
        <v>0</v>
      </c>
      <c r="P322" s="15"/>
      <c r="Q322" s="15"/>
      <c r="R322" s="15"/>
      <c r="S322" s="15"/>
      <c r="T322" s="15"/>
      <c r="U322" s="15"/>
    </row>
    <row r="323" spans="3:21" hidden="1" x14ac:dyDescent="0.15">
      <c r="C323" s="32" t="str">
        <f t="shared" si="307"/>
        <v>Payment</v>
      </c>
      <c r="D323" s="633"/>
      <c r="E323" s="633"/>
      <c r="F323" s="696">
        <f t="shared" si="308"/>
        <v>196209.80598874314</v>
      </c>
      <c r="G323" s="696">
        <f t="shared" ref="G323:O323" si="311">G96</f>
        <v>196209.80598874314</v>
      </c>
      <c r="H323" s="696">
        <f t="shared" si="311"/>
        <v>196209.80598874314</v>
      </c>
      <c r="I323" s="696">
        <f t="shared" si="311"/>
        <v>196209.80598874314</v>
      </c>
      <c r="J323" s="696">
        <f t="shared" si="311"/>
        <v>196209.80598874314</v>
      </c>
      <c r="K323" s="696">
        <f t="shared" ca="1" si="311"/>
        <v>543880.36521795078</v>
      </c>
      <c r="L323" s="696">
        <f t="shared" ca="1" si="311"/>
        <v>543880.36521795078</v>
      </c>
      <c r="M323" s="696">
        <f t="shared" ca="1" si="311"/>
        <v>543880.36521795078</v>
      </c>
      <c r="N323" s="696">
        <f t="shared" ca="1" si="311"/>
        <v>543880.36521795078</v>
      </c>
      <c r="O323" s="696">
        <f t="shared" ca="1" si="311"/>
        <v>543880.36521795078</v>
      </c>
      <c r="P323" s="15"/>
      <c r="Q323" s="15"/>
      <c r="R323" s="15"/>
      <c r="S323" s="15"/>
      <c r="T323" s="15"/>
      <c r="U323" s="15"/>
    </row>
    <row r="324" spans="3:21" hidden="1" x14ac:dyDescent="0.15">
      <c r="C324" s="32" t="str">
        <f t="shared" si="307"/>
        <v>Principal</v>
      </c>
      <c r="D324" s="633"/>
      <c r="E324" s="633"/>
      <c r="F324" s="696">
        <f t="shared" si="308"/>
        <v>35556.876301243145</v>
      </c>
      <c r="G324" s="696">
        <f t="shared" ref="G324:O324" si="312">G97</f>
        <v>37586.11834327894</v>
      </c>
      <c r="H324" s="696">
        <f t="shared" si="312"/>
        <v>39731.169862791838</v>
      </c>
      <c r="I324" s="696">
        <f t="shared" si="312"/>
        <v>41998.640142851946</v>
      </c>
      <c r="J324" s="696">
        <f t="shared" si="312"/>
        <v>44395.515660379548</v>
      </c>
      <c r="K324" s="696">
        <f t="shared" ca="1" si="312"/>
        <v>94899.036197297508</v>
      </c>
      <c r="L324" s="696">
        <f t="shared" ca="1" si="312"/>
        <v>100435.30757462</v>
      </c>
      <c r="M324" s="696">
        <f t="shared" ca="1" si="312"/>
        <v>106294.55695036647</v>
      </c>
      <c r="N324" s="696">
        <f t="shared" ca="1" si="312"/>
        <v>112495.62638995523</v>
      </c>
      <c r="O324" s="696">
        <f t="shared" ca="1" si="312"/>
        <v>119058.45717742341</v>
      </c>
      <c r="P324" s="15"/>
      <c r="Q324" s="15"/>
      <c r="R324" s="15"/>
      <c r="S324" s="15"/>
      <c r="T324" s="15"/>
      <c r="U324" s="15"/>
    </row>
    <row r="325" spans="3:21" hidden="1" x14ac:dyDescent="0.15">
      <c r="C325" s="32" t="str">
        <f t="shared" si="307"/>
        <v>Interest</v>
      </c>
      <c r="D325" s="633"/>
      <c r="E325" s="633"/>
      <c r="F325" s="696">
        <f t="shared" si="308"/>
        <v>160652.9296875</v>
      </c>
      <c r="G325" s="696">
        <f t="shared" ref="G325:O325" si="313">G98</f>
        <v>158623.6876454642</v>
      </c>
      <c r="H325" s="696">
        <f t="shared" si="313"/>
        <v>156478.63612595131</v>
      </c>
      <c r="I325" s="696">
        <f t="shared" si="313"/>
        <v>154211.1658458912</v>
      </c>
      <c r="J325" s="696">
        <f t="shared" si="313"/>
        <v>151814.2903283636</v>
      </c>
      <c r="K325" s="696">
        <f t="shared" ca="1" si="313"/>
        <v>448981.32902065327</v>
      </c>
      <c r="L325" s="696">
        <f t="shared" ca="1" si="313"/>
        <v>443445.05764333077</v>
      </c>
      <c r="M325" s="696">
        <f t="shared" ca="1" si="313"/>
        <v>437585.8082675843</v>
      </c>
      <c r="N325" s="696">
        <f t="shared" ca="1" si="313"/>
        <v>431384.73882799555</v>
      </c>
      <c r="O325" s="696">
        <f t="shared" ca="1" si="313"/>
        <v>424821.90804052737</v>
      </c>
      <c r="P325" s="15"/>
      <c r="Q325" s="15"/>
      <c r="R325" s="15"/>
      <c r="S325" s="15"/>
      <c r="T325" s="15"/>
      <c r="U325" s="15"/>
    </row>
    <row r="326" spans="3:21" hidden="1" x14ac:dyDescent="0.15">
      <c r="C326" s="32" t="str">
        <f t="shared" si="307"/>
        <v>Ending balance</v>
      </c>
      <c r="D326" s="633"/>
      <c r="E326" s="633"/>
      <c r="F326" s="783">
        <f t="shared" si="308"/>
        <v>2779443.123698757</v>
      </c>
      <c r="G326" s="783">
        <f t="shared" ref="G326:O326" si="314">G99</f>
        <v>2741857.0053554783</v>
      </c>
      <c r="H326" s="783">
        <f t="shared" si="314"/>
        <v>2702125.8354926864</v>
      </c>
      <c r="I326" s="783">
        <f t="shared" si="314"/>
        <v>2660127.1953498344</v>
      </c>
      <c r="J326" s="783">
        <f t="shared" si="314"/>
        <v>2615731.6796894548</v>
      </c>
      <c r="K326" s="783">
        <f t="shared" ca="1" si="314"/>
        <v>7601236.5920470944</v>
      </c>
      <c r="L326" s="783">
        <f t="shared" ca="1" si="314"/>
        <v>7500801.2844724748</v>
      </c>
      <c r="M326" s="783">
        <f t="shared" ca="1" si="314"/>
        <v>7394506.7275221087</v>
      </c>
      <c r="N326" s="783">
        <f t="shared" ca="1" si="314"/>
        <v>7282011.1011321535</v>
      </c>
      <c r="O326" s="783">
        <f t="shared" ca="1" si="314"/>
        <v>7162952.6439547297</v>
      </c>
      <c r="P326" s="15"/>
      <c r="Q326" s="15"/>
      <c r="R326" s="15"/>
      <c r="S326" s="15"/>
      <c r="T326" s="15"/>
      <c r="U326" s="15"/>
    </row>
    <row r="327" spans="3:21" hidden="1" x14ac:dyDescent="0.15">
      <c r="C327" s="633"/>
      <c r="D327" s="633"/>
      <c r="E327" s="633"/>
      <c r="F327" s="696"/>
      <c r="G327" s="696"/>
      <c r="H327" s="696"/>
      <c r="I327" s="15"/>
      <c r="J327" s="15"/>
      <c r="K327" s="15"/>
      <c r="L327" s="15"/>
      <c r="M327" s="15"/>
      <c r="N327" s="15"/>
      <c r="O327" s="15"/>
      <c r="P327" s="15"/>
      <c r="Q327" s="15"/>
      <c r="R327" s="15"/>
      <c r="S327" s="15"/>
      <c r="T327" s="15"/>
      <c r="U327" s="15"/>
    </row>
    <row r="328" spans="3:21" hidden="1" x14ac:dyDescent="0.15">
      <c r="C328" s="290">
        <f t="shared" si="307"/>
        <v>0</v>
      </c>
      <c r="D328" s="633"/>
      <c r="E328" s="633"/>
      <c r="F328" s="696"/>
      <c r="G328" s="696"/>
      <c r="H328" s="696"/>
      <c r="I328" s="15"/>
      <c r="J328" s="15"/>
      <c r="K328" s="15"/>
      <c r="L328" s="15"/>
      <c r="M328" s="15"/>
      <c r="N328" s="15"/>
      <c r="O328" s="15"/>
      <c r="P328" s="15"/>
      <c r="Q328" s="15"/>
      <c r="R328" s="15"/>
      <c r="S328" s="15"/>
      <c r="T328" s="15"/>
      <c r="U328" s="15"/>
    </row>
    <row r="329" spans="3:21" hidden="1" x14ac:dyDescent="0.15">
      <c r="C329" s="633"/>
      <c r="D329" s="633"/>
      <c r="E329" s="633"/>
      <c r="F329" s="696"/>
      <c r="G329" s="696"/>
      <c r="H329" s="696"/>
      <c r="I329" s="15"/>
      <c r="J329" s="15"/>
      <c r="K329" s="15"/>
      <c r="L329" s="15"/>
      <c r="M329" s="15"/>
      <c r="N329" s="15"/>
      <c r="O329" s="15"/>
      <c r="P329" s="15"/>
      <c r="Q329" s="15"/>
      <c r="R329" s="15"/>
      <c r="S329" s="15"/>
      <c r="T329" s="15"/>
      <c r="U329" s="15"/>
    </row>
    <row r="330" spans="3:21" hidden="1" x14ac:dyDescent="0.15">
      <c r="C330" s="36" t="str">
        <f t="shared" si="307"/>
        <v>Refinance Valuation</v>
      </c>
      <c r="D330" s="633"/>
      <c r="E330" s="633"/>
      <c r="F330" s="696">
        <f ca="1">F104</f>
        <v>2775218.2545454549</v>
      </c>
      <c r="G330" s="696">
        <f t="shared" ref="G330:O330" ca="1" si="315">G104</f>
        <v>4767270.2181818178</v>
      </c>
      <c r="H330" s="696">
        <f t="shared" ca="1" si="315"/>
        <v>7047986.8756363634</v>
      </c>
      <c r="I330" s="696">
        <f t="shared" ca="1" si="315"/>
        <v>9444265.1571490895</v>
      </c>
      <c r="J330" s="696">
        <f t="shared" ca="1" si="315"/>
        <v>11840208.658837525</v>
      </c>
      <c r="K330" s="696">
        <f t="shared" ca="1" si="315"/>
        <v>12395926.215287006</v>
      </c>
      <c r="L330" s="696">
        <f t="shared" ca="1" si="315"/>
        <v>12975514.658196382</v>
      </c>
      <c r="M330" s="696">
        <f t="shared" ca="1" si="315"/>
        <v>13579961.666708088</v>
      </c>
      <c r="N330" s="696">
        <f t="shared" ca="1" si="315"/>
        <v>14210295.084003948</v>
      </c>
      <c r="O330" s="696">
        <f t="shared" ca="1" si="315"/>
        <v>14867584.537004184</v>
      </c>
      <c r="P330" s="15"/>
      <c r="Q330" s="15"/>
      <c r="R330" s="15"/>
      <c r="S330" s="15"/>
      <c r="T330" s="15"/>
      <c r="U330" s="15"/>
    </row>
    <row r="331" spans="3:21" hidden="1" x14ac:dyDescent="0.15">
      <c r="C331" s="35"/>
      <c r="D331" s="633"/>
      <c r="E331" s="633"/>
      <c r="F331" s="696"/>
      <c r="G331" s="696"/>
      <c r="H331" s="696"/>
      <c r="I331" s="15"/>
      <c r="J331" s="15"/>
      <c r="K331" s="15"/>
      <c r="L331" s="15"/>
      <c r="M331" s="15"/>
      <c r="N331" s="15"/>
      <c r="O331" s="15"/>
      <c r="P331" s="15"/>
      <c r="Q331" s="15"/>
      <c r="R331" s="15"/>
      <c r="S331" s="15"/>
      <c r="T331" s="15"/>
      <c r="U331" s="15"/>
    </row>
    <row r="332" spans="3:21" hidden="1" x14ac:dyDescent="0.15">
      <c r="C332" s="636" t="str">
        <f t="shared" si="307"/>
        <v>Net Cash Flow after Debt Service</v>
      </c>
      <c r="D332" s="633"/>
      <c r="E332" s="633"/>
      <c r="F332" s="696">
        <f ca="1">F106</f>
        <v>-43572.801988743129</v>
      </c>
      <c r="G332" s="696">
        <f t="shared" ref="G332:O332" ca="1" si="316">G106</f>
        <v>65990.05601125682</v>
      </c>
      <c r="H332" s="696">
        <f t="shared" ca="1" si="316"/>
        <v>191429.47217125684</v>
      </c>
      <c r="I332" s="696">
        <f t="shared" ca="1" si="316"/>
        <v>323224.77765445679</v>
      </c>
      <c r="J332" s="696">
        <f t="shared" ca="1" si="316"/>
        <v>455001.67024732073</v>
      </c>
      <c r="K332" s="696">
        <f t="shared" ca="1" si="316"/>
        <v>137895.57662283455</v>
      </c>
      <c r="L332" s="696">
        <f t="shared" ca="1" si="316"/>
        <v>169772.94098285027</v>
      </c>
      <c r="M332" s="696">
        <f t="shared" ca="1" si="316"/>
        <v>203017.52645099408</v>
      </c>
      <c r="N332" s="696">
        <f t="shared" ca="1" si="316"/>
        <v>237685.86440226634</v>
      </c>
      <c r="O332" s="696">
        <f t="shared" ca="1" si="316"/>
        <v>273836.78431727935</v>
      </c>
      <c r="P332" s="15"/>
      <c r="Q332" s="15"/>
      <c r="R332" s="15"/>
      <c r="S332" s="15"/>
      <c r="T332" s="15"/>
      <c r="U332" s="15"/>
    </row>
    <row r="333" spans="3:21" hidden="1" x14ac:dyDescent="0.15">
      <c r="C333" s="636" t="str">
        <f t="shared" si="307"/>
        <v>Cash from Sale of POH</v>
      </c>
      <c r="D333" s="633"/>
      <c r="E333" s="633"/>
      <c r="F333" s="696">
        <f>F107</f>
        <v>0</v>
      </c>
      <c r="G333" s="696">
        <f t="shared" ref="G333:O333" si="317">G107</f>
        <v>0</v>
      </c>
      <c r="H333" s="696">
        <f t="shared" si="317"/>
        <v>0</v>
      </c>
      <c r="I333" s="696">
        <f t="shared" si="317"/>
        <v>0</v>
      </c>
      <c r="J333" s="696">
        <f t="shared" si="317"/>
        <v>0</v>
      </c>
      <c r="K333" s="696">
        <f t="shared" si="317"/>
        <v>0</v>
      </c>
      <c r="L333" s="696">
        <f t="shared" si="317"/>
        <v>0</v>
      </c>
      <c r="M333" s="696">
        <f t="shared" si="317"/>
        <v>0</v>
      </c>
      <c r="N333" s="696">
        <f t="shared" si="317"/>
        <v>0</v>
      </c>
      <c r="O333" s="696">
        <f t="shared" si="317"/>
        <v>0</v>
      </c>
      <c r="P333" s="15"/>
      <c r="Q333" s="15"/>
      <c r="R333" s="15"/>
      <c r="S333" s="15"/>
      <c r="T333" s="15"/>
      <c r="U333" s="15"/>
    </row>
    <row r="334" spans="3:21" hidden="1" x14ac:dyDescent="0.15">
      <c r="C334" s="636" t="str">
        <f t="shared" si="307"/>
        <v>Rental Income from POH</v>
      </c>
      <c r="D334" s="633"/>
      <c r="E334" s="633"/>
      <c r="F334" s="696">
        <f>F108</f>
        <v>54225.599999999999</v>
      </c>
      <c r="G334" s="696">
        <f t="shared" ref="G334:O334" si="318">G108</f>
        <v>54225.599999999999</v>
      </c>
      <c r="H334" s="696">
        <f t="shared" si="318"/>
        <v>54225.599999999999</v>
      </c>
      <c r="I334" s="696">
        <f t="shared" si="318"/>
        <v>54225.599999999999</v>
      </c>
      <c r="J334" s="696">
        <f t="shared" si="318"/>
        <v>54225.599999999999</v>
      </c>
      <c r="K334" s="696">
        <f t="shared" si="318"/>
        <v>0</v>
      </c>
      <c r="L334" s="696">
        <f t="shared" si="318"/>
        <v>0</v>
      </c>
      <c r="M334" s="696">
        <f t="shared" si="318"/>
        <v>0</v>
      </c>
      <c r="N334" s="696">
        <f t="shared" si="318"/>
        <v>0</v>
      </c>
      <c r="O334" s="696">
        <f t="shared" si="318"/>
        <v>0</v>
      </c>
      <c r="P334" s="15"/>
      <c r="Q334" s="15"/>
      <c r="R334" s="15"/>
      <c r="S334" s="15"/>
      <c r="T334" s="15"/>
      <c r="U334" s="15"/>
    </row>
    <row r="335" spans="3:21" hidden="1" x14ac:dyDescent="0.15">
      <c r="C335" s="636" t="str">
        <f t="shared" si="307"/>
        <v>Note Income from POH</v>
      </c>
      <c r="D335" s="633"/>
      <c r="E335" s="633"/>
      <c r="F335" s="696">
        <f>F109</f>
        <v>0</v>
      </c>
      <c r="G335" s="696">
        <f t="shared" ref="G335:O335" si="319">G109</f>
        <v>0</v>
      </c>
      <c r="H335" s="696">
        <f t="shared" si="319"/>
        <v>0</v>
      </c>
      <c r="I335" s="696">
        <f t="shared" si="319"/>
        <v>0</v>
      </c>
      <c r="J335" s="696">
        <f t="shared" si="319"/>
        <v>0</v>
      </c>
      <c r="K335" s="696">
        <f t="shared" si="319"/>
        <v>0</v>
      </c>
      <c r="L335" s="696">
        <f t="shared" si="319"/>
        <v>0</v>
      </c>
      <c r="M335" s="696">
        <f t="shared" si="319"/>
        <v>0</v>
      </c>
      <c r="N335" s="696">
        <f t="shared" si="319"/>
        <v>0</v>
      </c>
      <c r="O335" s="696">
        <f t="shared" si="319"/>
        <v>0</v>
      </c>
      <c r="P335" s="15"/>
      <c r="Q335" s="15"/>
      <c r="R335" s="15"/>
      <c r="S335" s="15"/>
      <c r="T335" s="15"/>
      <c r="U335" s="15"/>
    </row>
    <row r="336" spans="3:21" hidden="1" x14ac:dyDescent="0.15">
      <c r="C336" s="636" t="str">
        <f t="shared" si="307"/>
        <v>POH Seller Carry Note</v>
      </c>
      <c r="D336" s="633"/>
      <c r="E336" s="633"/>
      <c r="F336" s="696">
        <f>F110</f>
        <v>0</v>
      </c>
      <c r="G336" s="696">
        <f t="shared" ref="G336:O336" si="320">G110</f>
        <v>0</v>
      </c>
      <c r="H336" s="696">
        <f t="shared" si="320"/>
        <v>0</v>
      </c>
      <c r="I336" s="696">
        <f t="shared" si="320"/>
        <v>0</v>
      </c>
      <c r="J336" s="696">
        <f t="shared" si="320"/>
        <v>0</v>
      </c>
      <c r="K336" s="696">
        <f t="shared" si="320"/>
        <v>0</v>
      </c>
      <c r="L336" s="696">
        <f t="shared" si="320"/>
        <v>0</v>
      </c>
      <c r="M336" s="696">
        <f t="shared" si="320"/>
        <v>0</v>
      </c>
      <c r="N336" s="696">
        <f t="shared" si="320"/>
        <v>0</v>
      </c>
      <c r="O336" s="696">
        <f t="shared" si="320"/>
        <v>0</v>
      </c>
      <c r="P336" s="15"/>
      <c r="Q336" s="15"/>
      <c r="R336" s="15"/>
      <c r="S336" s="15"/>
      <c r="T336" s="15"/>
      <c r="U336" s="15"/>
    </row>
    <row r="337" spans="3:28" hidden="1" x14ac:dyDescent="0.15">
      <c r="C337" s="636" t="str">
        <f t="shared" si="307"/>
        <v>Return of Capital (other)</v>
      </c>
      <c r="D337" s="633"/>
      <c r="E337" s="633"/>
      <c r="F337" s="696">
        <f t="shared" ref="F337:F338" si="321">F115</f>
        <v>0</v>
      </c>
      <c r="G337" s="696">
        <f t="shared" ref="G337:O337" si="322">G115</f>
        <v>0</v>
      </c>
      <c r="H337" s="696">
        <f t="shared" si="322"/>
        <v>0</v>
      </c>
      <c r="I337" s="696">
        <f t="shared" si="322"/>
        <v>0</v>
      </c>
      <c r="J337" s="696">
        <f t="shared" ca="1" si="322"/>
        <v>5080403.9485549368</v>
      </c>
      <c r="K337" s="696">
        <f t="shared" si="322"/>
        <v>0</v>
      </c>
      <c r="L337" s="696">
        <f t="shared" si="322"/>
        <v>0</v>
      </c>
      <c r="M337" s="696">
        <f t="shared" si="322"/>
        <v>0</v>
      </c>
      <c r="N337" s="696">
        <f t="shared" si="322"/>
        <v>0</v>
      </c>
      <c r="O337" s="696">
        <f t="shared" si="322"/>
        <v>0</v>
      </c>
      <c r="P337" s="15"/>
      <c r="Q337" s="15"/>
      <c r="R337" s="15"/>
      <c r="S337" s="15"/>
      <c r="T337" s="15"/>
      <c r="U337" s="15"/>
      <c r="V337" s="633"/>
      <c r="W337" s="633"/>
      <c r="X337" s="633"/>
      <c r="Y337" s="633"/>
      <c r="Z337" s="633"/>
      <c r="AA337" s="633"/>
      <c r="AB337" s="633"/>
    </row>
    <row r="338" spans="3:28" hidden="1" x14ac:dyDescent="0.15">
      <c r="C338" s="636" t="str">
        <f t="shared" si="307"/>
        <v>Sale Proceeds at Exit</v>
      </c>
      <c r="D338" s="633"/>
      <c r="E338" s="633"/>
      <c r="F338" s="696">
        <f t="shared" si="321"/>
        <v>0</v>
      </c>
      <c r="G338" s="696">
        <f t="shared" ref="G338:N338" si="323">G116</f>
        <v>0</v>
      </c>
      <c r="H338" s="696">
        <f t="shared" si="323"/>
        <v>0</v>
      </c>
      <c r="I338" s="696">
        <f t="shared" si="323"/>
        <v>0</v>
      </c>
      <c r="J338" s="696">
        <f t="shared" si="323"/>
        <v>0</v>
      </c>
      <c r="K338" s="696">
        <f t="shared" si="323"/>
        <v>0</v>
      </c>
      <c r="L338" s="696">
        <f t="shared" si="323"/>
        <v>0</v>
      </c>
      <c r="M338" s="696">
        <f t="shared" si="323"/>
        <v>0</v>
      </c>
      <c r="N338" s="696">
        <f t="shared" si="323"/>
        <v>0</v>
      </c>
      <c r="O338" s="696">
        <f ca="1">+(O318/RefiCap)*(1-Cost_of_Sale)</f>
        <v>14421557.000894058</v>
      </c>
      <c r="P338" s="15"/>
      <c r="Q338" s="15"/>
      <c r="R338" s="15"/>
      <c r="S338" s="15"/>
      <c r="T338" s="15"/>
      <c r="U338" s="15"/>
      <c r="V338" s="633"/>
      <c r="W338" s="633"/>
      <c r="X338" s="633"/>
      <c r="Y338" s="633"/>
      <c r="Z338" s="633"/>
      <c r="AA338" s="633"/>
      <c r="AB338" s="633"/>
    </row>
    <row r="339" spans="3:28" hidden="1" x14ac:dyDescent="0.15">
      <c r="C339" s="636" t="str">
        <f t="shared" si="307"/>
        <v>Repay Outstanding Loan</v>
      </c>
      <c r="D339" s="633"/>
      <c r="E339" s="633"/>
      <c r="F339" s="696"/>
      <c r="G339" s="696"/>
      <c r="H339" s="696"/>
      <c r="I339" s="696"/>
      <c r="J339" s="696"/>
      <c r="K339" s="696"/>
      <c r="L339" s="696"/>
      <c r="M339" s="696"/>
      <c r="N339" s="696"/>
      <c r="O339" s="696">
        <f ca="1">-O326</f>
        <v>-7162952.6439547297</v>
      </c>
      <c r="P339" s="15"/>
      <c r="Q339" s="15"/>
      <c r="R339" s="15"/>
      <c r="S339" s="15"/>
      <c r="T339" s="15"/>
      <c r="U339" s="15"/>
      <c r="V339" s="633"/>
      <c r="W339" s="633"/>
      <c r="X339" s="633"/>
      <c r="Y339" s="633"/>
      <c r="Z339" s="633"/>
      <c r="AA339" s="633"/>
      <c r="AB339" s="633"/>
    </row>
    <row r="340" spans="3:28" ht="14" hidden="1" thickBot="1" x14ac:dyDescent="0.2">
      <c r="C340" s="743" t="str">
        <f t="shared" si="307"/>
        <v>Pretax Income Available for Distribution</v>
      </c>
      <c r="D340" s="633"/>
      <c r="E340" s="696">
        <f>E291</f>
        <v>-3909999.8119999999</v>
      </c>
      <c r="F340" s="696">
        <f ca="1">SUM(F332:F339)</f>
        <v>10652.798011256869</v>
      </c>
      <c r="G340" s="696">
        <f t="shared" ref="G340:O340" ca="1" si="324">SUM(G332:G339)</f>
        <v>120215.65601125683</v>
      </c>
      <c r="H340" s="696">
        <f t="shared" ca="1" si="324"/>
        <v>245655.07217125685</v>
      </c>
      <c r="I340" s="696">
        <f t="shared" ca="1" si="324"/>
        <v>377450.37765445677</v>
      </c>
      <c r="J340" s="696">
        <f t="shared" ca="1" si="324"/>
        <v>5589631.2188022574</v>
      </c>
      <c r="K340" s="696">
        <f t="shared" ca="1" si="324"/>
        <v>137895.57662283455</v>
      </c>
      <c r="L340" s="696">
        <f t="shared" ca="1" si="324"/>
        <v>169772.94098285027</v>
      </c>
      <c r="M340" s="696">
        <f t="shared" ca="1" si="324"/>
        <v>203017.52645099408</v>
      </c>
      <c r="N340" s="696">
        <f t="shared" ca="1" si="324"/>
        <v>237685.86440226634</v>
      </c>
      <c r="O340" s="696">
        <f t="shared" ca="1" si="324"/>
        <v>7532441.1412566081</v>
      </c>
      <c r="P340" s="15"/>
      <c r="Q340" s="15"/>
      <c r="R340" s="15"/>
      <c r="S340" s="15"/>
      <c r="T340" s="15"/>
      <c r="U340" s="15"/>
      <c r="V340" s="633"/>
      <c r="W340" s="633"/>
      <c r="X340" s="633"/>
      <c r="Y340" s="633"/>
      <c r="Z340" s="633"/>
      <c r="AA340" s="633"/>
      <c r="AB340" s="633"/>
    </row>
    <row r="341" spans="3:28" ht="14" hidden="1" thickTop="1" x14ac:dyDescent="0.15">
      <c r="C341" s="633"/>
      <c r="D341" s="633"/>
      <c r="E341" s="633"/>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3:28" hidden="1" x14ac:dyDescent="0.15">
      <c r="C342" s="11" t="s">
        <v>284</v>
      </c>
      <c r="D342" s="633"/>
      <c r="E342" s="697">
        <f ca="1">IRR(E340:O340)</f>
        <v>0.20736257585727125</v>
      </c>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3:28" hidden="1" x14ac:dyDescent="0.15">
      <c r="C343" s="636"/>
      <c r="D343" s="633"/>
      <c r="E343" s="633"/>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3:28" hidden="1" x14ac:dyDescent="0.15">
      <c r="C344" s="11" t="str">
        <f t="shared" ref="C344:C357" si="325">+C295</f>
        <v>Distributions</v>
      </c>
      <c r="D344" s="633"/>
      <c r="E344" s="633"/>
      <c r="F344" s="13"/>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3:28" hidden="1" x14ac:dyDescent="0.15">
      <c r="C345" s="636" t="str">
        <f t="shared" si="325"/>
        <v>Investor Preferred Return</v>
      </c>
      <c r="D345" s="633"/>
      <c r="E345" s="633"/>
      <c r="F345" s="13"/>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3:28" hidden="1" x14ac:dyDescent="0.15">
      <c r="C346" s="23" t="str">
        <f t="shared" si="325"/>
        <v>Beginning balance</v>
      </c>
      <c r="D346" s="633"/>
      <c r="E346" s="633"/>
      <c r="F346" s="13">
        <f>-E340</f>
        <v>3909999.8119999999</v>
      </c>
      <c r="G346" s="13">
        <f ca="1">+F349</f>
        <v>4094847.0045887432</v>
      </c>
      <c r="H346" s="13">
        <f t="shared" ref="H346:O346" ca="1" si="326">+G349</f>
        <v>4179373.6988069233</v>
      </c>
      <c r="I346" s="13">
        <f t="shared" ca="1" si="326"/>
        <v>4142687.3115760125</v>
      </c>
      <c r="J346" s="13">
        <f t="shared" ca="1" si="326"/>
        <v>3972371.2995003564</v>
      </c>
      <c r="K346" s="13">
        <f t="shared" ca="1" si="326"/>
        <v>0</v>
      </c>
      <c r="L346" s="13">
        <f t="shared" ca="1" si="326"/>
        <v>0</v>
      </c>
      <c r="M346" s="13">
        <f t="shared" ca="1" si="326"/>
        <v>0</v>
      </c>
      <c r="N346" s="13">
        <f t="shared" ca="1" si="326"/>
        <v>0</v>
      </c>
      <c r="O346" s="13">
        <f t="shared" ca="1" si="326"/>
        <v>0</v>
      </c>
      <c r="P346" s="15"/>
      <c r="Q346" s="15"/>
      <c r="R346" s="15"/>
      <c r="S346" s="15"/>
      <c r="T346" s="15"/>
      <c r="U346" s="15"/>
      <c r="V346" s="15"/>
      <c r="W346" s="15"/>
      <c r="X346" s="15"/>
      <c r="Y346" s="15"/>
      <c r="Z346" s="15"/>
      <c r="AA346" s="15"/>
      <c r="AB346" s="15"/>
    </row>
    <row r="347" spans="3:28" hidden="1" x14ac:dyDescent="0.15">
      <c r="C347" s="23" t="str">
        <f t="shared" si="325"/>
        <v>Preferred return</v>
      </c>
      <c r="D347" s="633"/>
      <c r="E347" s="633"/>
      <c r="F347" s="13">
        <f t="shared" ref="F347:O347" si="327">+F346*InvestorPref</f>
        <v>195499.99060000002</v>
      </c>
      <c r="G347" s="13">
        <f t="shared" ca="1" si="327"/>
        <v>204742.35022943717</v>
      </c>
      <c r="H347" s="13">
        <f t="shared" ca="1" si="327"/>
        <v>208968.68494034617</v>
      </c>
      <c r="I347" s="13">
        <f t="shared" ca="1" si="327"/>
        <v>207134.36557880064</v>
      </c>
      <c r="J347" s="13">
        <f t="shared" ca="1" si="327"/>
        <v>198618.56497501783</v>
      </c>
      <c r="K347" s="13">
        <f t="shared" ca="1" si="327"/>
        <v>0</v>
      </c>
      <c r="L347" s="13">
        <f t="shared" ca="1" si="327"/>
        <v>0</v>
      </c>
      <c r="M347" s="13">
        <f t="shared" ca="1" si="327"/>
        <v>0</v>
      </c>
      <c r="N347" s="13">
        <f t="shared" ca="1" si="327"/>
        <v>0</v>
      </c>
      <c r="O347" s="13">
        <f t="shared" ca="1" si="327"/>
        <v>0</v>
      </c>
      <c r="P347" s="15"/>
      <c r="Q347" s="15"/>
      <c r="R347" s="15"/>
      <c r="S347" s="15"/>
      <c r="T347" s="15"/>
      <c r="U347" s="15"/>
      <c r="V347" s="15"/>
      <c r="W347" s="15"/>
      <c r="X347" s="15"/>
      <c r="Y347" s="15"/>
      <c r="Z347" s="15"/>
      <c r="AA347" s="15"/>
      <c r="AB347" s="15"/>
    </row>
    <row r="348" spans="3:28" hidden="1" x14ac:dyDescent="0.15">
      <c r="C348" s="23" t="str">
        <f t="shared" si="325"/>
        <v>Payment</v>
      </c>
      <c r="D348" s="633"/>
      <c r="E348" s="633"/>
      <c r="F348" s="13">
        <f ca="1">MAX(-F346-F347,-F340)</f>
        <v>-10652.798011256869</v>
      </c>
      <c r="G348" s="13">
        <f t="shared" ref="G348:O348" ca="1" si="328">MAX(-G346-G347,-G340)</f>
        <v>-120215.65601125683</v>
      </c>
      <c r="H348" s="13">
        <f t="shared" ca="1" si="328"/>
        <v>-245655.07217125685</v>
      </c>
      <c r="I348" s="13">
        <f t="shared" ca="1" si="328"/>
        <v>-377450.37765445677</v>
      </c>
      <c r="J348" s="13">
        <f t="shared" ca="1" si="328"/>
        <v>-4170989.8644753741</v>
      </c>
      <c r="K348" s="13">
        <f t="shared" ca="1" si="328"/>
        <v>0</v>
      </c>
      <c r="L348" s="13">
        <f t="shared" ca="1" si="328"/>
        <v>0</v>
      </c>
      <c r="M348" s="13">
        <f t="shared" ca="1" si="328"/>
        <v>0</v>
      </c>
      <c r="N348" s="13">
        <f t="shared" ca="1" si="328"/>
        <v>0</v>
      </c>
      <c r="O348" s="13">
        <f t="shared" ca="1" si="328"/>
        <v>0</v>
      </c>
      <c r="P348" s="15"/>
      <c r="Q348" s="15"/>
      <c r="R348" s="15"/>
      <c r="S348" s="15"/>
      <c r="T348" s="15"/>
      <c r="U348" s="15"/>
      <c r="V348" s="15"/>
      <c r="W348" s="15"/>
      <c r="X348" s="15"/>
      <c r="Y348" s="15"/>
      <c r="Z348" s="15"/>
      <c r="AA348" s="15"/>
      <c r="AB348" s="15"/>
    </row>
    <row r="349" spans="3:28" hidden="1" x14ac:dyDescent="0.15">
      <c r="C349" s="23" t="str">
        <f t="shared" si="325"/>
        <v>Ending balance</v>
      </c>
      <c r="D349" s="633"/>
      <c r="E349" s="633"/>
      <c r="F349" s="782">
        <f ca="1">SUM(F346:F348)</f>
        <v>4094847.0045887432</v>
      </c>
      <c r="G349" s="782">
        <f t="shared" ref="G349:O349" ca="1" si="329">SUM(G346:G348)</f>
        <v>4179373.6988069233</v>
      </c>
      <c r="H349" s="782">
        <f t="shared" ca="1" si="329"/>
        <v>4142687.3115760125</v>
      </c>
      <c r="I349" s="782">
        <f t="shared" ca="1" si="329"/>
        <v>3972371.2995003564</v>
      </c>
      <c r="J349" s="782">
        <f t="shared" ca="1" si="329"/>
        <v>0</v>
      </c>
      <c r="K349" s="782">
        <f t="shared" ca="1" si="329"/>
        <v>0</v>
      </c>
      <c r="L349" s="782">
        <f t="shared" ca="1" si="329"/>
        <v>0</v>
      </c>
      <c r="M349" s="782">
        <f t="shared" ca="1" si="329"/>
        <v>0</v>
      </c>
      <c r="N349" s="782">
        <f t="shared" ca="1" si="329"/>
        <v>0</v>
      </c>
      <c r="O349" s="782">
        <f t="shared" ca="1" si="329"/>
        <v>0</v>
      </c>
      <c r="P349" s="15"/>
      <c r="Q349" s="15"/>
      <c r="R349" s="15"/>
      <c r="S349" s="15"/>
      <c r="T349" s="15"/>
      <c r="U349" s="15"/>
      <c r="V349" s="15"/>
      <c r="W349" s="15"/>
      <c r="X349" s="15"/>
      <c r="Y349" s="15"/>
      <c r="Z349" s="15"/>
      <c r="AA349" s="15"/>
      <c r="AB349" s="15"/>
    </row>
    <row r="350" spans="3:28" hidden="1" x14ac:dyDescent="0.15">
      <c r="C350" s="636" t="str">
        <f t="shared" si="325"/>
        <v>Available After Pref / Return Of Capital</v>
      </c>
      <c r="D350" s="633"/>
      <c r="E350" s="633"/>
      <c r="F350" s="13">
        <f ca="1">+F340+F348</f>
        <v>0</v>
      </c>
      <c r="G350" s="13">
        <f t="shared" ref="G350:O350" ca="1" si="330">+G340+G348</f>
        <v>0</v>
      </c>
      <c r="H350" s="13">
        <f t="shared" ca="1" si="330"/>
        <v>0</v>
      </c>
      <c r="I350" s="13">
        <f t="shared" ca="1" si="330"/>
        <v>0</v>
      </c>
      <c r="J350" s="13">
        <f t="shared" ca="1" si="330"/>
        <v>1418641.3543268833</v>
      </c>
      <c r="K350" s="13">
        <f t="shared" ca="1" si="330"/>
        <v>137895.57662283455</v>
      </c>
      <c r="L350" s="13">
        <f t="shared" ca="1" si="330"/>
        <v>169772.94098285027</v>
      </c>
      <c r="M350" s="13">
        <f t="shared" ca="1" si="330"/>
        <v>203017.52645099408</v>
      </c>
      <c r="N350" s="13">
        <f t="shared" ca="1" si="330"/>
        <v>237685.86440226634</v>
      </c>
      <c r="O350" s="13">
        <f t="shared" ca="1" si="330"/>
        <v>7532441.1412566081</v>
      </c>
      <c r="P350" s="15"/>
      <c r="Q350" s="15"/>
      <c r="R350" s="15"/>
      <c r="S350" s="15"/>
      <c r="T350" s="15"/>
      <c r="U350" s="15"/>
      <c r="V350" s="15"/>
      <c r="W350" s="15"/>
      <c r="X350" s="15"/>
      <c r="Y350" s="15"/>
      <c r="Z350" s="15"/>
      <c r="AA350" s="15"/>
      <c r="AB350" s="15"/>
    </row>
    <row r="351" spans="3:28" hidden="1" x14ac:dyDescent="0.15">
      <c r="C351" s="41" t="str">
        <f t="shared" si="325"/>
        <v>Split</v>
      </c>
      <c r="D351" s="633"/>
      <c r="E351" s="633"/>
      <c r="F351" s="13"/>
      <c r="G351" s="13"/>
      <c r="H351" s="13"/>
      <c r="I351" s="15"/>
      <c r="J351" s="15"/>
      <c r="K351" s="15"/>
      <c r="L351" s="15"/>
      <c r="M351" s="15"/>
      <c r="N351" s="15"/>
      <c r="O351" s="15"/>
      <c r="P351" s="15"/>
      <c r="Q351" s="15"/>
      <c r="R351" s="15"/>
      <c r="S351" s="15"/>
      <c r="T351" s="15"/>
      <c r="U351" s="15"/>
      <c r="V351" s="15"/>
      <c r="W351" s="15"/>
      <c r="X351" s="15"/>
      <c r="Y351" s="15"/>
      <c r="Z351" s="15"/>
      <c r="AA351" s="15"/>
      <c r="AB351" s="15"/>
    </row>
    <row r="352" spans="3:28" hidden="1" x14ac:dyDescent="0.15">
      <c r="C352" s="695" t="str">
        <f t="shared" si="325"/>
        <v>Investor</v>
      </c>
      <c r="D352" s="633"/>
      <c r="E352" s="633"/>
      <c r="F352" s="13">
        <f t="shared" ref="F352:O352" ca="1" si="331">+F350*InvestorPromote</f>
        <v>0</v>
      </c>
      <c r="G352" s="13">
        <f t="shared" ca="1" si="331"/>
        <v>0</v>
      </c>
      <c r="H352" s="13">
        <f t="shared" ca="1" si="331"/>
        <v>0</v>
      </c>
      <c r="I352" s="13">
        <f t="shared" ca="1" si="331"/>
        <v>0</v>
      </c>
      <c r="J352" s="13">
        <f t="shared" ca="1" si="331"/>
        <v>709320.67716344167</v>
      </c>
      <c r="K352" s="13">
        <f t="shared" ca="1" si="331"/>
        <v>68947.788311417273</v>
      </c>
      <c r="L352" s="13">
        <f t="shared" ca="1" si="331"/>
        <v>84886.470491425134</v>
      </c>
      <c r="M352" s="13">
        <f t="shared" ca="1" si="331"/>
        <v>101508.76322549704</v>
      </c>
      <c r="N352" s="13">
        <f t="shared" ca="1" si="331"/>
        <v>118842.93220113317</v>
      </c>
      <c r="O352" s="13">
        <f t="shared" ca="1" si="331"/>
        <v>3766220.570628304</v>
      </c>
      <c r="P352" s="15"/>
      <c r="Q352" s="15"/>
      <c r="R352" s="15"/>
      <c r="S352" s="15"/>
      <c r="T352" s="15"/>
      <c r="U352" s="15"/>
      <c r="V352" s="15"/>
      <c r="W352" s="15"/>
      <c r="X352" s="15"/>
      <c r="Y352" s="15"/>
      <c r="Z352" s="15"/>
      <c r="AA352" s="15"/>
      <c r="AB352" s="15"/>
    </row>
    <row r="353" spans="3:28" hidden="1" x14ac:dyDescent="0.15">
      <c r="C353" s="695" t="str">
        <f t="shared" si="325"/>
        <v>BVG</v>
      </c>
      <c r="D353" s="633"/>
      <c r="E353" s="633"/>
      <c r="F353" s="13">
        <f t="shared" ref="F353:O353" ca="1" si="332">+F350*BVGPromote</f>
        <v>0</v>
      </c>
      <c r="G353" s="13">
        <f t="shared" ca="1" si="332"/>
        <v>0</v>
      </c>
      <c r="H353" s="13">
        <f t="shared" ca="1" si="332"/>
        <v>0</v>
      </c>
      <c r="I353" s="13">
        <f t="shared" ca="1" si="332"/>
        <v>0</v>
      </c>
      <c r="J353" s="13">
        <f t="shared" ca="1" si="332"/>
        <v>709320.67716344167</v>
      </c>
      <c r="K353" s="13">
        <f t="shared" ca="1" si="332"/>
        <v>68947.788311417273</v>
      </c>
      <c r="L353" s="13">
        <f t="shared" ca="1" si="332"/>
        <v>84886.470491425134</v>
      </c>
      <c r="M353" s="13">
        <f t="shared" ca="1" si="332"/>
        <v>101508.76322549704</v>
      </c>
      <c r="N353" s="13">
        <f t="shared" ca="1" si="332"/>
        <v>118842.93220113317</v>
      </c>
      <c r="O353" s="13">
        <f t="shared" ca="1" si="332"/>
        <v>3766220.570628304</v>
      </c>
      <c r="P353" s="15"/>
      <c r="Q353" s="15"/>
      <c r="R353" s="15"/>
      <c r="S353" s="15"/>
      <c r="T353" s="15"/>
      <c r="U353" s="15"/>
      <c r="V353" s="15"/>
      <c r="W353" s="15"/>
      <c r="X353" s="15"/>
      <c r="Y353" s="15"/>
      <c r="Z353" s="15"/>
      <c r="AA353" s="15"/>
      <c r="AB353" s="15"/>
    </row>
    <row r="354" spans="3:28" hidden="1" x14ac:dyDescent="0.15">
      <c r="C354" s="41" t="str">
        <f t="shared" si="325"/>
        <v>Total</v>
      </c>
      <c r="D354" s="633"/>
      <c r="E354" s="633"/>
      <c r="F354" s="13"/>
      <c r="G354" s="13"/>
      <c r="H354" s="13"/>
      <c r="I354" s="15"/>
      <c r="J354" s="15"/>
      <c r="K354" s="15"/>
      <c r="L354" s="15"/>
      <c r="M354" s="15"/>
      <c r="N354" s="15"/>
      <c r="O354" s="15"/>
      <c r="P354" s="15"/>
      <c r="Q354" s="15"/>
      <c r="R354" s="15"/>
      <c r="S354" s="15"/>
      <c r="T354" s="15"/>
      <c r="U354" s="15"/>
      <c r="V354" s="15"/>
      <c r="W354" s="15"/>
      <c r="X354" s="15"/>
      <c r="Y354" s="15"/>
      <c r="Z354" s="15"/>
      <c r="AA354" s="15"/>
      <c r="AB354" s="15"/>
    </row>
    <row r="355" spans="3:28" hidden="1" x14ac:dyDescent="0.15">
      <c r="C355" s="695" t="str">
        <f t="shared" si="325"/>
        <v>Investor</v>
      </c>
      <c r="D355" s="633"/>
      <c r="E355" s="633"/>
      <c r="F355" s="13">
        <f ca="1">-F348+F352</f>
        <v>10652.798011256869</v>
      </c>
      <c r="G355" s="13">
        <f t="shared" ref="G355:J355" ca="1" si="333">-G348+G352</f>
        <v>120215.65601125683</v>
      </c>
      <c r="H355" s="13">
        <f t="shared" ca="1" si="333"/>
        <v>245655.07217125685</v>
      </c>
      <c r="I355" s="13">
        <f t="shared" ca="1" si="333"/>
        <v>377450.37765445677</v>
      </c>
      <c r="J355" s="13">
        <f t="shared" ca="1" si="333"/>
        <v>4880310.5416388158</v>
      </c>
      <c r="K355" s="13">
        <f t="shared" ref="K355:O355" ca="1" si="334">-K348+K352</f>
        <v>68947.788311417273</v>
      </c>
      <c r="L355" s="13">
        <f t="shared" ca="1" si="334"/>
        <v>84886.470491425134</v>
      </c>
      <c r="M355" s="13">
        <f t="shared" ca="1" si="334"/>
        <v>101508.76322549704</v>
      </c>
      <c r="N355" s="13">
        <f t="shared" ca="1" si="334"/>
        <v>118842.93220113317</v>
      </c>
      <c r="O355" s="13">
        <f t="shared" ca="1" si="334"/>
        <v>3766220.570628304</v>
      </c>
      <c r="P355" s="15"/>
      <c r="Q355" s="15"/>
      <c r="R355" s="15"/>
      <c r="S355" s="15"/>
      <c r="T355" s="15"/>
      <c r="U355" s="15"/>
      <c r="V355" s="15"/>
      <c r="W355" s="15"/>
      <c r="X355" s="15"/>
      <c r="Y355" s="15"/>
      <c r="Z355" s="15"/>
      <c r="AA355" s="15"/>
      <c r="AB355" s="15"/>
    </row>
    <row r="356" spans="3:28" hidden="1" x14ac:dyDescent="0.15">
      <c r="C356" s="695" t="str">
        <f t="shared" si="325"/>
        <v>BVG</v>
      </c>
      <c r="D356" s="633"/>
      <c r="E356" s="633"/>
      <c r="F356" s="13">
        <f ca="1">+F353</f>
        <v>0</v>
      </c>
      <c r="G356" s="13">
        <f t="shared" ref="G356:J356" ca="1" si="335">+G353</f>
        <v>0</v>
      </c>
      <c r="H356" s="13">
        <f t="shared" ca="1" si="335"/>
        <v>0</v>
      </c>
      <c r="I356" s="13">
        <f t="shared" ca="1" si="335"/>
        <v>0</v>
      </c>
      <c r="J356" s="13">
        <f t="shared" ca="1" si="335"/>
        <v>709320.67716344167</v>
      </c>
      <c r="K356" s="13">
        <f t="shared" ref="K356:O356" ca="1" si="336">+K353</f>
        <v>68947.788311417273</v>
      </c>
      <c r="L356" s="13">
        <f t="shared" ca="1" si="336"/>
        <v>84886.470491425134</v>
      </c>
      <c r="M356" s="13">
        <f t="shared" ca="1" si="336"/>
        <v>101508.76322549704</v>
      </c>
      <c r="N356" s="13">
        <f t="shared" ca="1" si="336"/>
        <v>118842.93220113317</v>
      </c>
      <c r="O356" s="13">
        <f t="shared" ca="1" si="336"/>
        <v>3766220.570628304</v>
      </c>
      <c r="P356" s="15"/>
      <c r="Q356" s="15"/>
      <c r="R356" s="15"/>
      <c r="S356" s="15"/>
      <c r="T356" s="15"/>
      <c r="U356" s="15"/>
      <c r="V356" s="15"/>
      <c r="W356" s="15"/>
      <c r="X356" s="15"/>
      <c r="Y356" s="15"/>
      <c r="Z356" s="15"/>
      <c r="AA356" s="15"/>
      <c r="AB356" s="15"/>
    </row>
    <row r="357" spans="3:28" ht="14" hidden="1" x14ac:dyDescent="0.15">
      <c r="C357" s="131" t="str">
        <f t="shared" si="325"/>
        <v>Total Project Cash Flow</v>
      </c>
      <c r="D357" s="633"/>
      <c r="E357" s="696">
        <f>E340</f>
        <v>-3909999.8119999999</v>
      </c>
      <c r="F357" s="13">
        <f ca="1">+F355</f>
        <v>10652.798011256869</v>
      </c>
      <c r="G357" s="13">
        <f t="shared" ref="G357:J357" ca="1" si="337">+G355</f>
        <v>120215.65601125683</v>
      </c>
      <c r="H357" s="13">
        <f t="shared" ca="1" si="337"/>
        <v>245655.07217125685</v>
      </c>
      <c r="I357" s="13">
        <f t="shared" ca="1" si="337"/>
        <v>377450.37765445677</v>
      </c>
      <c r="J357" s="13">
        <f t="shared" ca="1" si="337"/>
        <v>4880310.5416388158</v>
      </c>
      <c r="K357" s="13">
        <f t="shared" ref="K357:O357" ca="1" si="338">+K355</f>
        <v>68947.788311417273</v>
      </c>
      <c r="L357" s="13">
        <f t="shared" ca="1" si="338"/>
        <v>84886.470491425134</v>
      </c>
      <c r="M357" s="13">
        <f t="shared" ca="1" si="338"/>
        <v>101508.76322549704</v>
      </c>
      <c r="N357" s="13">
        <f t="shared" ca="1" si="338"/>
        <v>118842.93220113317</v>
      </c>
      <c r="O357" s="13">
        <f t="shared" ca="1" si="338"/>
        <v>3766220.570628304</v>
      </c>
      <c r="P357" s="15"/>
      <c r="Q357" s="15"/>
      <c r="R357" s="15"/>
      <c r="S357" s="15"/>
      <c r="T357" s="15"/>
      <c r="U357" s="15"/>
      <c r="V357" s="15"/>
      <c r="W357" s="15"/>
      <c r="X357" s="15"/>
      <c r="Y357" s="15"/>
      <c r="Z357" s="15"/>
      <c r="AA357" s="15"/>
      <c r="AB357" s="15"/>
    </row>
    <row r="358" spans="3:28" hidden="1" x14ac:dyDescent="0.15">
      <c r="C358" s="633"/>
      <c r="D358" s="633"/>
      <c r="E358" s="633"/>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3:28" hidden="1" x14ac:dyDescent="0.15">
      <c r="C359" s="633" t="s">
        <v>285</v>
      </c>
      <c r="D359" s="633"/>
      <c r="E359" s="697">
        <f ca="1">IRR(E357:O357)</f>
        <v>0.15259219521377476</v>
      </c>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3:28" hidden="1" x14ac:dyDescent="0.15">
      <c r="C360" s="633" t="str">
        <f>+C311</f>
        <v>Investor Multiple</v>
      </c>
      <c r="D360" s="633"/>
      <c r="E360" s="707">
        <f ca="1">SUM(F357:O357)/-E357</f>
        <v>2.4999210844833715</v>
      </c>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3:28" hidden="1" x14ac:dyDescent="0.15">
      <c r="C361" s="633" t="str">
        <f>+C312</f>
        <v>investor cash</v>
      </c>
      <c r="D361" s="633"/>
      <c r="E361" s="689">
        <f ca="1">SUM(F357:O357)</f>
        <v>9774690.9703448191</v>
      </c>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3:28" hidden="1" x14ac:dyDescent="0.15">
      <c r="C362" s="633" t="s">
        <v>278</v>
      </c>
      <c r="E362" s="689">
        <f ca="1">SUM(F356:O356)</f>
        <v>4849727.2020212179</v>
      </c>
      <c r="F362" s="633"/>
      <c r="G362" s="633"/>
      <c r="H362" s="633"/>
      <c r="I362" s="633"/>
      <c r="J362" s="633"/>
      <c r="K362" s="633"/>
      <c r="L362" s="633"/>
      <c r="M362" s="633"/>
      <c r="N362" s="633"/>
      <c r="O362" s="633"/>
      <c r="P362" s="633"/>
      <c r="Q362" s="633"/>
      <c r="R362" s="633"/>
      <c r="S362" s="633"/>
      <c r="T362" s="633"/>
      <c r="U362" s="633"/>
      <c r="V362" s="633"/>
      <c r="W362" s="633"/>
      <c r="X362" s="633"/>
      <c r="Y362" s="633"/>
      <c r="Z362" s="633"/>
      <c r="AA362" s="633"/>
      <c r="AB362" s="633"/>
    </row>
    <row r="363" spans="3:28" hidden="1" x14ac:dyDescent="0.15">
      <c r="C363" s="633"/>
      <c r="E363" s="633"/>
      <c r="F363" s="633"/>
      <c r="G363" s="633"/>
      <c r="H363" s="633"/>
      <c r="I363" s="633"/>
      <c r="J363" s="633"/>
      <c r="K363" s="633"/>
      <c r="L363" s="633"/>
      <c r="M363" s="633"/>
      <c r="N363" s="633"/>
      <c r="O363" s="633"/>
      <c r="P363" s="633"/>
      <c r="Q363" s="633"/>
      <c r="R363" s="633"/>
      <c r="S363" s="633"/>
      <c r="T363" s="633"/>
      <c r="U363" s="633"/>
      <c r="V363" s="633"/>
      <c r="W363" s="633"/>
      <c r="X363" s="633"/>
      <c r="Y363" s="633"/>
      <c r="Z363" s="633"/>
      <c r="AA363" s="633"/>
      <c r="AB363" s="633"/>
    </row>
    <row r="364" spans="3:28" hidden="1" x14ac:dyDescent="0.15">
      <c r="C364" s="633"/>
      <c r="E364" s="633"/>
      <c r="F364" s="633"/>
      <c r="G364" s="633"/>
      <c r="H364" s="633"/>
      <c r="I364" s="633"/>
      <c r="J364" s="633"/>
      <c r="K364" s="633"/>
      <c r="L364" s="633"/>
      <c r="M364" s="633"/>
      <c r="N364" s="633"/>
      <c r="O364" s="633"/>
      <c r="P364" s="633"/>
      <c r="Q364" s="633"/>
      <c r="R364" s="633"/>
      <c r="S364" s="633"/>
      <c r="T364" s="633"/>
      <c r="U364" s="633"/>
      <c r="V364" s="633"/>
      <c r="W364" s="633"/>
      <c r="X364" s="633"/>
      <c r="Y364" s="633"/>
      <c r="Z364" s="633"/>
      <c r="AA364" s="633"/>
      <c r="AB364" s="633"/>
    </row>
    <row r="365" spans="3:28" hidden="1" x14ac:dyDescent="0.15">
      <c r="C365" s="633"/>
      <c r="E365" s="633"/>
      <c r="F365" s="633"/>
      <c r="G365" s="633"/>
      <c r="H365" s="633"/>
      <c r="I365" s="633"/>
      <c r="J365" s="633"/>
      <c r="K365" s="633"/>
      <c r="L365" s="633"/>
      <c r="M365" s="633"/>
      <c r="N365" s="633"/>
      <c r="O365" s="633"/>
      <c r="P365" s="633"/>
      <c r="Q365" s="633"/>
      <c r="R365" s="633"/>
      <c r="S365" s="633"/>
      <c r="T365" s="633"/>
      <c r="U365" s="633"/>
      <c r="V365" s="633"/>
      <c r="W365" s="633"/>
      <c r="X365" s="633"/>
      <c r="Y365" s="633"/>
      <c r="Z365" s="633"/>
      <c r="AA365" s="633"/>
      <c r="AB365" s="633"/>
    </row>
    <row r="366" spans="3:28" hidden="1" x14ac:dyDescent="0.15">
      <c r="C366" s="633"/>
      <c r="E366" s="633"/>
      <c r="F366" s="633"/>
      <c r="G366" s="633"/>
      <c r="H366" s="633"/>
      <c r="I366" s="633"/>
      <c r="J366" s="633"/>
      <c r="K366" s="633"/>
      <c r="L366" s="633"/>
      <c r="M366" s="633"/>
      <c r="N366" s="633"/>
      <c r="O366" s="633"/>
      <c r="P366" s="633"/>
      <c r="Q366" s="633"/>
      <c r="R366" s="633"/>
      <c r="S366" s="633"/>
      <c r="T366" s="633"/>
      <c r="U366" s="633"/>
      <c r="V366" s="633"/>
      <c r="W366" s="633"/>
      <c r="X366" s="633"/>
      <c r="Y366" s="633"/>
      <c r="Z366" s="633"/>
      <c r="AA366" s="633"/>
      <c r="AB366" s="633"/>
    </row>
    <row r="367" spans="3:28" hidden="1" x14ac:dyDescent="0.15">
      <c r="C367" s="633"/>
      <c r="E367" s="633"/>
      <c r="F367" s="633"/>
      <c r="G367" s="633"/>
      <c r="H367" s="633"/>
      <c r="I367" s="633"/>
      <c r="J367" s="633"/>
      <c r="K367" s="633"/>
      <c r="L367" s="633"/>
      <c r="M367" s="633"/>
      <c r="N367" s="633"/>
      <c r="O367" s="633"/>
      <c r="P367" s="633"/>
      <c r="Q367" s="633"/>
      <c r="R367" s="633"/>
      <c r="S367" s="633"/>
      <c r="T367" s="633"/>
      <c r="U367" s="633"/>
      <c r="V367" s="633"/>
      <c r="W367" s="633"/>
      <c r="X367" s="633"/>
      <c r="Y367" s="633"/>
      <c r="Z367" s="633"/>
      <c r="AA367" s="633"/>
      <c r="AB367" s="633"/>
    </row>
    <row r="368" spans="3:28" hidden="1" x14ac:dyDescent="0.15">
      <c r="C368" s="633"/>
      <c r="E368" s="633"/>
      <c r="F368" s="633"/>
      <c r="G368" s="633"/>
      <c r="H368" s="633"/>
      <c r="I368" s="633"/>
      <c r="J368" s="633"/>
      <c r="K368" s="633"/>
      <c r="L368" s="633"/>
      <c r="M368" s="633"/>
      <c r="N368" s="633"/>
      <c r="O368" s="633"/>
      <c r="P368" s="633"/>
      <c r="Q368" s="633"/>
      <c r="R368" s="633"/>
      <c r="S368" s="633"/>
      <c r="T368" s="633"/>
      <c r="U368" s="633"/>
      <c r="V368" s="633"/>
      <c r="W368" s="633"/>
      <c r="X368" s="633"/>
      <c r="Y368" s="633"/>
      <c r="Z368" s="633"/>
      <c r="AA368" s="633"/>
      <c r="AB368" s="633"/>
    </row>
    <row r="369" hidden="1" x14ac:dyDescent="0.15"/>
    <row r="370" hidden="1" x14ac:dyDescent="0.15"/>
    <row r="371" hidden="1" x14ac:dyDescent="0.15"/>
    <row r="372" hidden="1" x14ac:dyDescent="0.15"/>
    <row r="373" hidden="1" x14ac:dyDescent="0.15"/>
    <row r="374" hidden="1" x14ac:dyDescent="0.15"/>
    <row r="375" hidden="1" x14ac:dyDescent="0.15"/>
    <row r="376" hidden="1" x14ac:dyDescent="0.15"/>
    <row r="377" hidden="1" x14ac:dyDescent="0.15"/>
    <row r="378" hidden="1" x14ac:dyDescent="0.15"/>
    <row r="379" hidden="1" x14ac:dyDescent="0.15"/>
    <row r="380" hidden="1" x14ac:dyDescent="0.15"/>
    <row r="381" hidden="1" x14ac:dyDescent="0.15"/>
    <row r="382" hidden="1" x14ac:dyDescent="0.15"/>
    <row r="383" hidden="1" x14ac:dyDescent="0.15"/>
    <row r="384" hidden="1" x14ac:dyDescent="0.15"/>
    <row r="385" spans="2:4" hidden="1" x14ac:dyDescent="0.15">
      <c r="C385" s="633"/>
    </row>
    <row r="386" spans="2:4" s="331" customFormat="1" hidden="1" x14ac:dyDescent="0.15">
      <c r="B386" s="496"/>
      <c r="C386" s="332" t="s">
        <v>286</v>
      </c>
      <c r="D386" s="330"/>
    </row>
  </sheetData>
  <sheetProtection algorithmName="SHA-512" hashValue="fi9V4L57+vQGpGaWV27tneOod28aovt6Yj9JUqtwtGKu0gKE4kw0PIqaH0ZZTMK/WVCtP+VyZtKZPvTrJNl3TQ==" saltValue="AvB2lLWUF/IMlTshmNlU2g==" spinCount="100000" sheet="1" objects="1" scenarios="1"/>
  <mergeCells count="11">
    <mergeCell ref="C267:J267"/>
    <mergeCell ref="C192:O192"/>
    <mergeCell ref="C316:O316"/>
    <mergeCell ref="D1:E1"/>
    <mergeCell ref="C218:H218"/>
    <mergeCell ref="A157:O157"/>
    <mergeCell ref="C178:D178"/>
    <mergeCell ref="C169:F169"/>
    <mergeCell ref="C159:E159"/>
    <mergeCell ref="D2:E2"/>
    <mergeCell ref="D3:E3"/>
  </mergeCells>
  <phoneticPr fontId="0" type="noConversion"/>
  <conditionalFormatting sqref="F53:AJ53 F36:AJ42 F46:AJ51 F58:AJ81 F30:AJ33">
    <cfRule type="expression" dxfId="35" priority="27">
      <formula>IF(_xlfn.ISFORMULA(F30),FALSE,TRUE)</formula>
    </cfRule>
  </conditionalFormatting>
  <conditionalFormatting sqref="E58:E81">
    <cfRule type="expression" dxfId="34" priority="17">
      <formula>IF(_xlfn.ISFORMULA(E58),FALSE,TRUE)</formula>
    </cfRule>
  </conditionalFormatting>
  <conditionalFormatting sqref="E58:E81">
    <cfRule type="expression" dxfId="33" priority="16">
      <formula>IF(_xlfn.ISFORMULA(E58),FALSE,TRUE)</formula>
    </cfRule>
  </conditionalFormatting>
  <conditionalFormatting sqref="D58:D81">
    <cfRule type="expression" dxfId="32" priority="15">
      <formula>IF(_xlfn.ISFORMULA(D58),FALSE,TRUE)</formula>
    </cfRule>
  </conditionalFormatting>
  <conditionalFormatting sqref="D58:D81">
    <cfRule type="expression" dxfId="31" priority="14">
      <formula>IF(_xlfn.ISFORMULA(D58),FALSE,TRUE)</formula>
    </cfRule>
  </conditionalFormatting>
  <conditionalFormatting sqref="F93">
    <cfRule type="notContainsBlanks" dxfId="30" priority="13">
      <formula>LEN(TRIM(F93))&gt;0</formula>
    </cfRule>
  </conditionalFormatting>
  <conditionalFormatting sqref="G93:AJ93">
    <cfRule type="notContainsBlanks" dxfId="29" priority="12">
      <formula>LEN(TRIM(G93))&gt;0</formula>
    </cfRule>
  </conditionalFormatting>
  <conditionalFormatting sqref="F90">
    <cfRule type="expression" dxfId="28" priority="11">
      <formula>IF(_xlfn.ISFORMULA(F90),FALSE,TRUE)</formula>
    </cfRule>
  </conditionalFormatting>
  <conditionalFormatting sqref="F90">
    <cfRule type="expression" dxfId="27" priority="10">
      <formula>IF(_xlfn.ISFORMULA(F90),FALSE,TRUE)</formula>
    </cfRule>
  </conditionalFormatting>
  <conditionalFormatting sqref="G90:M90">
    <cfRule type="expression" dxfId="26" priority="9">
      <formula>IF(_xlfn.ISFORMULA(G90),FALSE,TRUE)</formula>
    </cfRule>
  </conditionalFormatting>
  <conditionalFormatting sqref="G90:M90">
    <cfRule type="expression" dxfId="25" priority="8">
      <formula>IF(_xlfn.ISFORMULA(G90),FALSE,TRUE)</formula>
    </cfRule>
  </conditionalFormatting>
  <conditionalFormatting sqref="F89">
    <cfRule type="expression" dxfId="24" priority="7">
      <formula>IF(_xlfn.ISFORMULA(F89),FALSE,TRUE)</formula>
    </cfRule>
  </conditionalFormatting>
  <conditionalFormatting sqref="F89">
    <cfRule type="expression" dxfId="23" priority="6">
      <formula>IF(_xlfn.ISFORMULA(F89),FALSE,TRUE)</formula>
    </cfRule>
  </conditionalFormatting>
  <conditionalFormatting sqref="G89:M89">
    <cfRule type="expression" dxfId="22" priority="5">
      <formula>IF(_xlfn.ISFORMULA(G89),FALSE,TRUE)</formula>
    </cfRule>
  </conditionalFormatting>
  <conditionalFormatting sqref="G89:M89">
    <cfRule type="expression" dxfId="21" priority="4">
      <formula>IF(_xlfn.ISFORMULA(G89),FALSE,TRUE)</formula>
    </cfRule>
  </conditionalFormatting>
  <conditionalFormatting sqref="D102">
    <cfRule type="cellIs" priority="1" operator="greaterThanOrEqual">
      <formula>$D$99</formula>
    </cfRule>
    <cfRule type="cellIs" dxfId="20" priority="3" operator="greaterThan">
      <formula>$D$99</formula>
    </cfRule>
  </conditionalFormatting>
  <dataValidations count="1">
    <dataValidation type="list" allowBlank="1" showInputMessage="1" showErrorMessage="1" sqref="N7" xr:uid="{2193E996-7C81-4AAD-8533-F2C743F15953}">
      <formula1>"Yes, No"</formula1>
    </dataValidation>
  </dataValidations>
  <pageMargins left="0.25" right="0.25" top="0.75" bottom="0.75" header="0.3" footer="0.3"/>
  <pageSetup scale="58"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857B535-2106-4A67-820C-683114398DF3}">
          <x14:formula1>
            <xm:f>'IE Data Entry'!$P$2:$P$5</xm:f>
          </x14:formula1>
          <xm:sqref>N6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2060"/>
  </sheetPr>
  <dimension ref="A1:M192"/>
  <sheetViews>
    <sheetView topLeftCell="A62" workbookViewId="0">
      <selection activeCell="F17" sqref="F17"/>
    </sheetView>
  </sheetViews>
  <sheetFormatPr baseColWidth="10" defaultColWidth="8.83203125" defaultRowHeight="13" x14ac:dyDescent="0.15"/>
  <cols>
    <col min="1" max="1" width="28.5" customWidth="1"/>
    <col min="2" max="2" width="15.1640625" customWidth="1"/>
    <col min="3" max="3" width="15.83203125" bestFit="1" customWidth="1"/>
    <col min="4" max="4" width="15.1640625" customWidth="1"/>
    <col min="5" max="5" width="12.83203125" customWidth="1"/>
    <col min="6" max="6" width="19.5" customWidth="1"/>
    <col min="7" max="7" width="9.5" customWidth="1"/>
    <col min="8" max="8" width="11.5" customWidth="1"/>
    <col min="9" max="9" width="9.5" bestFit="1" customWidth="1"/>
    <col min="10" max="10" width="16.83203125" customWidth="1"/>
    <col min="11" max="11" width="7.1640625" customWidth="1"/>
    <col min="12" max="12" width="12.1640625" customWidth="1"/>
    <col min="13" max="13" width="19.1640625" customWidth="1"/>
  </cols>
  <sheetData>
    <row r="1" spans="1:13" x14ac:dyDescent="0.15">
      <c r="A1" s="784" t="s">
        <v>287</v>
      </c>
      <c r="B1" s="785"/>
      <c r="C1" s="786"/>
      <c r="D1" s="314"/>
      <c r="F1" s="784" t="s">
        <v>288</v>
      </c>
      <c r="G1" s="784"/>
      <c r="H1" s="784"/>
      <c r="I1" s="784"/>
      <c r="J1" s="784"/>
      <c r="K1" s="784"/>
      <c r="L1" s="784"/>
      <c r="M1" s="784"/>
    </row>
    <row r="2" spans="1:13" ht="12.75" customHeight="1" x14ac:dyDescent="0.2">
      <c r="A2" s="787" t="s">
        <v>289</v>
      </c>
      <c r="B2" s="788"/>
      <c r="C2" s="789"/>
      <c r="D2" s="314"/>
      <c r="E2" s="658"/>
      <c r="F2" s="633"/>
      <c r="G2" s="633"/>
      <c r="H2" s="633"/>
      <c r="I2" s="633"/>
      <c r="J2" s="633"/>
      <c r="K2" s="633"/>
      <c r="L2" s="633"/>
      <c r="M2" s="633"/>
    </row>
    <row r="3" spans="1:13" ht="12.75" customHeight="1" x14ac:dyDescent="0.2">
      <c r="A3" s="790" t="s">
        <v>290</v>
      </c>
      <c r="B3" s="791"/>
      <c r="C3" s="792">
        <v>8999.8119999999999</v>
      </c>
      <c r="D3" s="708"/>
      <c r="E3" s="658"/>
      <c r="F3" s="614"/>
      <c r="G3" s="611"/>
      <c r="H3" s="612"/>
      <c r="I3" s="633"/>
      <c r="J3" s="614"/>
      <c r="K3" s="611"/>
      <c r="L3" s="612"/>
      <c r="M3" s="633"/>
    </row>
    <row r="4" spans="1:13" ht="12.75" customHeight="1" x14ac:dyDescent="0.2">
      <c r="A4" s="641" t="s">
        <v>291</v>
      </c>
      <c r="B4" s="633"/>
      <c r="C4" s="709">
        <v>16075</v>
      </c>
      <c r="D4" s="708"/>
      <c r="E4" s="658"/>
      <c r="F4" s="613"/>
      <c r="G4" s="611"/>
      <c r="H4" s="608"/>
      <c r="I4" s="633"/>
      <c r="J4" s="613"/>
      <c r="K4" s="611"/>
      <c r="L4" s="608"/>
      <c r="M4" s="633"/>
    </row>
    <row r="5" spans="1:13" ht="12.75" customHeight="1" x14ac:dyDescent="0.2">
      <c r="A5" s="137" t="s">
        <v>292</v>
      </c>
      <c r="C5" s="283">
        <v>5000</v>
      </c>
      <c r="D5" s="708"/>
      <c r="E5" s="658"/>
      <c r="F5" s="613"/>
      <c r="G5" s="611"/>
      <c r="H5" s="608"/>
      <c r="I5" s="633"/>
      <c r="J5" s="613"/>
      <c r="K5" s="611"/>
      <c r="L5" s="608"/>
      <c r="M5" s="633"/>
    </row>
    <row r="6" spans="1:13" ht="12.75" customHeight="1" x14ac:dyDescent="0.2">
      <c r="A6" s="641" t="s">
        <v>293</v>
      </c>
      <c r="C6" s="282">
        <v>2500</v>
      </c>
      <c r="D6" s="708"/>
      <c r="E6" s="658"/>
      <c r="F6" s="613"/>
      <c r="G6" s="611"/>
      <c r="H6" s="608"/>
      <c r="I6" s="633"/>
      <c r="J6" s="613"/>
      <c r="K6" s="611"/>
      <c r="L6" s="608"/>
      <c r="M6" s="633"/>
    </row>
    <row r="7" spans="1:13" ht="15" x14ac:dyDescent="0.2">
      <c r="A7" s="641" t="s">
        <v>294</v>
      </c>
      <c r="C7" s="282"/>
      <c r="D7" s="708"/>
      <c r="E7" s="658"/>
      <c r="F7" s="613"/>
      <c r="G7" s="611"/>
      <c r="H7" s="609"/>
      <c r="I7" s="633"/>
      <c r="J7" s="613"/>
      <c r="K7" s="611"/>
      <c r="L7" s="609"/>
      <c r="M7" s="633"/>
    </row>
    <row r="8" spans="1:13" ht="15" x14ac:dyDescent="0.2">
      <c r="A8" s="137" t="s">
        <v>295</v>
      </c>
      <c r="C8" s="315"/>
      <c r="D8" s="708"/>
      <c r="F8" s="613"/>
      <c r="G8" s="611"/>
      <c r="H8" s="610"/>
      <c r="I8" s="633"/>
      <c r="J8" s="613"/>
      <c r="K8" s="611"/>
      <c r="L8" s="610"/>
      <c r="M8" s="633"/>
    </row>
    <row r="9" spans="1:13" ht="15" x14ac:dyDescent="0.2">
      <c r="A9" s="137" t="s">
        <v>296</v>
      </c>
      <c r="C9" s="315">
        <v>9019</v>
      </c>
      <c r="F9" s="613"/>
      <c r="G9" s="611"/>
      <c r="H9" s="612"/>
      <c r="I9" s="633"/>
      <c r="J9" s="613"/>
      <c r="K9" s="611"/>
      <c r="L9" s="612"/>
      <c r="M9" s="633"/>
    </row>
    <row r="10" spans="1:13" ht="15" x14ac:dyDescent="0.2">
      <c r="A10" s="793" t="s">
        <v>297</v>
      </c>
      <c r="B10" s="793"/>
      <c r="C10" s="794">
        <f>SUM(C3:C9)</f>
        <v>41593.811999999998</v>
      </c>
      <c r="F10" s="614"/>
      <c r="G10" s="611"/>
      <c r="H10" s="612"/>
      <c r="I10" s="633"/>
      <c r="J10" s="614"/>
      <c r="K10" s="611"/>
      <c r="L10" s="612"/>
      <c r="M10" s="633"/>
    </row>
    <row r="11" spans="1:13" ht="15" x14ac:dyDescent="0.2">
      <c r="A11" s="134"/>
      <c r="C11" s="316"/>
      <c r="F11" s="613"/>
      <c r="G11" s="611"/>
      <c r="H11" s="608"/>
      <c r="I11" s="633"/>
      <c r="J11" s="613"/>
      <c r="K11" s="611"/>
      <c r="L11" s="608"/>
      <c r="M11" s="633"/>
    </row>
    <row r="12" spans="1:13" ht="15" x14ac:dyDescent="0.2">
      <c r="A12" s="318" t="s">
        <v>298</v>
      </c>
      <c r="B12" s="317"/>
      <c r="C12" s="319"/>
      <c r="F12" s="613"/>
      <c r="G12" s="611"/>
      <c r="H12" s="608"/>
      <c r="I12" s="633"/>
      <c r="J12" s="613"/>
      <c r="K12" s="611"/>
      <c r="L12" s="608"/>
      <c r="M12" s="633"/>
    </row>
    <row r="13" spans="1:13" ht="15" x14ac:dyDescent="0.2">
      <c r="A13" s="710" t="s">
        <v>299</v>
      </c>
      <c r="C13" s="315">
        <v>0</v>
      </c>
      <c r="E13" s="689"/>
      <c r="F13" s="613"/>
      <c r="G13" s="611"/>
      <c r="H13" s="608"/>
      <c r="I13" s="633"/>
      <c r="J13" s="613"/>
      <c r="K13" s="611"/>
      <c r="L13" s="608"/>
      <c r="M13" s="633"/>
    </row>
    <row r="14" spans="1:13" ht="15" x14ac:dyDescent="0.2">
      <c r="A14" s="710" t="s">
        <v>300</v>
      </c>
      <c r="C14" s="315">
        <v>0</v>
      </c>
      <c r="E14" s="689"/>
      <c r="F14" s="613"/>
      <c r="G14" s="611"/>
      <c r="H14" s="608"/>
      <c r="I14" s="633"/>
      <c r="J14" s="613"/>
      <c r="K14" s="611"/>
      <c r="L14" s="608"/>
      <c r="M14" s="633"/>
    </row>
    <row r="15" spans="1:13" ht="15" x14ac:dyDescent="0.2">
      <c r="A15" s="710" t="s">
        <v>301</v>
      </c>
      <c r="C15" s="315">
        <v>0</v>
      </c>
      <c r="E15" s="256"/>
      <c r="F15" s="613"/>
      <c r="G15" s="611"/>
      <c r="H15" s="609"/>
      <c r="I15" s="633"/>
      <c r="J15" s="613"/>
      <c r="K15" s="611"/>
      <c r="L15" s="609"/>
      <c r="M15" s="633"/>
    </row>
    <row r="16" spans="1:13" ht="15" x14ac:dyDescent="0.2">
      <c r="A16" s="710" t="s">
        <v>302</v>
      </c>
      <c r="C16" s="315">
        <v>0</v>
      </c>
      <c r="F16" s="613"/>
      <c r="G16" s="611"/>
      <c r="H16" s="610"/>
      <c r="I16" s="633"/>
      <c r="J16" s="613"/>
      <c r="K16" s="611"/>
      <c r="L16" s="610"/>
      <c r="M16" s="633"/>
    </row>
    <row r="17" spans="1:13" x14ac:dyDescent="0.15">
      <c r="A17" s="710" t="s">
        <v>303</v>
      </c>
      <c r="C17" s="315">
        <v>0</v>
      </c>
      <c r="F17" s="633"/>
      <c r="G17" s="633"/>
      <c r="H17" s="633"/>
      <c r="I17" s="633"/>
      <c r="J17" s="633"/>
      <c r="K17" s="633"/>
      <c r="L17" s="633"/>
      <c r="M17" s="633"/>
    </row>
    <row r="18" spans="1:13" x14ac:dyDescent="0.15">
      <c r="A18" s="641" t="s">
        <v>304</v>
      </c>
      <c r="C18" s="315">
        <v>0</v>
      </c>
      <c r="D18" s="689"/>
      <c r="F18" s="633"/>
      <c r="G18" s="633"/>
      <c r="H18" s="633"/>
      <c r="I18" s="633"/>
      <c r="J18" s="633"/>
      <c r="K18" s="633"/>
      <c r="L18" s="633"/>
      <c r="M18" s="633"/>
    </row>
    <row r="19" spans="1:13" x14ac:dyDescent="0.15">
      <c r="A19" s="641" t="s">
        <v>305</v>
      </c>
      <c r="C19" s="315">
        <v>0</v>
      </c>
      <c r="D19" s="689"/>
      <c r="F19" s="633"/>
      <c r="G19" s="633"/>
      <c r="H19" s="633"/>
      <c r="I19" s="633"/>
      <c r="J19" s="633"/>
      <c r="K19" s="633"/>
      <c r="L19" s="633"/>
      <c r="M19" s="633"/>
    </row>
    <row r="20" spans="1:13" x14ac:dyDescent="0.15">
      <c r="A20" s="641" t="s">
        <v>306</v>
      </c>
      <c r="C20" s="315">
        <v>0</v>
      </c>
      <c r="D20" s="256"/>
      <c r="F20" s="633"/>
      <c r="G20" s="633"/>
      <c r="H20" s="633"/>
      <c r="I20" s="633"/>
      <c r="J20" s="633"/>
      <c r="K20" s="633"/>
      <c r="L20" s="633"/>
      <c r="M20" s="633"/>
    </row>
    <row r="21" spans="1:13" x14ac:dyDescent="0.15">
      <c r="A21" s="641" t="s">
        <v>307</v>
      </c>
      <c r="C21" s="315">
        <v>0</v>
      </c>
      <c r="F21" s="633"/>
      <c r="G21" s="633"/>
      <c r="H21" s="633"/>
      <c r="I21" s="633"/>
      <c r="J21" s="633"/>
      <c r="K21" s="633"/>
      <c r="L21" s="633"/>
      <c r="M21" s="633"/>
    </row>
    <row r="22" spans="1:13" x14ac:dyDescent="0.15">
      <c r="A22" s="641" t="s">
        <v>308</v>
      </c>
      <c r="C22" s="315">
        <v>400000</v>
      </c>
      <c r="F22" s="633"/>
      <c r="G22" s="633"/>
      <c r="H22" s="633"/>
      <c r="I22" s="633"/>
      <c r="J22" s="633"/>
      <c r="K22" s="633"/>
      <c r="L22" s="633"/>
      <c r="M22" s="633"/>
    </row>
    <row r="23" spans="1:13" x14ac:dyDescent="0.15">
      <c r="A23" s="641" t="s">
        <v>309</v>
      </c>
      <c r="C23" s="315">
        <v>1600000</v>
      </c>
      <c r="F23" s="633"/>
      <c r="G23" s="633"/>
      <c r="H23" s="633"/>
      <c r="I23" s="633"/>
      <c r="J23" s="633"/>
      <c r="K23" s="633"/>
      <c r="L23" s="633"/>
      <c r="M23" s="633"/>
    </row>
    <row r="24" spans="1:13" x14ac:dyDescent="0.15">
      <c r="A24" s="641" t="s">
        <v>310</v>
      </c>
      <c r="C24" s="315">
        <v>80000</v>
      </c>
      <c r="F24" s="633"/>
      <c r="G24" s="633"/>
      <c r="H24" s="633"/>
      <c r="I24" s="633"/>
      <c r="J24" s="633"/>
      <c r="K24" s="633"/>
      <c r="L24" s="633"/>
      <c r="M24" s="633"/>
    </row>
    <row r="25" spans="1:13" x14ac:dyDescent="0.15">
      <c r="A25" s="641" t="s">
        <v>311</v>
      </c>
      <c r="C25" s="315">
        <v>0</v>
      </c>
      <c r="F25" s="633"/>
      <c r="G25" s="633"/>
      <c r="H25" s="633"/>
      <c r="I25" s="633"/>
      <c r="J25" s="633"/>
      <c r="K25" s="633"/>
      <c r="L25" s="633"/>
      <c r="M25" s="633"/>
    </row>
    <row r="26" spans="1:13" x14ac:dyDescent="0.15">
      <c r="A26" s="641" t="s">
        <v>312</v>
      </c>
      <c r="C26" s="315">
        <v>0</v>
      </c>
      <c r="F26" s="633"/>
      <c r="G26" s="633"/>
      <c r="H26" s="633"/>
      <c r="I26" s="633"/>
      <c r="J26" s="633"/>
      <c r="K26" s="633"/>
      <c r="L26" s="633"/>
      <c r="M26" s="633"/>
    </row>
    <row r="27" spans="1:13" x14ac:dyDescent="0.15">
      <c r="A27" s="641" t="s">
        <v>313</v>
      </c>
      <c r="C27" s="315">
        <v>100000</v>
      </c>
      <c r="F27" s="633"/>
      <c r="G27" s="633"/>
      <c r="H27" s="633"/>
      <c r="I27" s="633"/>
      <c r="J27" s="633"/>
      <c r="K27" s="633"/>
      <c r="L27" s="633"/>
      <c r="M27" s="633"/>
    </row>
    <row r="28" spans="1:13" x14ac:dyDescent="0.15">
      <c r="A28" s="795" t="s">
        <v>314</v>
      </c>
      <c r="B28" s="793"/>
      <c r="C28" s="794">
        <f>SUM(C13:C27)</f>
        <v>2180000</v>
      </c>
    </row>
    <row r="29" spans="1:13" x14ac:dyDescent="0.15">
      <c r="A29" s="140"/>
      <c r="B29" s="82"/>
      <c r="C29" s="284"/>
    </row>
    <row r="30" spans="1:13" x14ac:dyDescent="0.15">
      <c r="A30" s="140"/>
      <c r="B30" s="265" t="s">
        <v>315</v>
      </c>
      <c r="C30" s="321">
        <f>+C28+C10</f>
        <v>2221593.8119999999</v>
      </c>
    </row>
    <row r="32" spans="1:13" x14ac:dyDescent="0.15">
      <c r="E32" s="257"/>
    </row>
    <row r="33" spans="1:11" x14ac:dyDescent="0.15">
      <c r="A33" s="796" t="s">
        <v>316</v>
      </c>
      <c r="B33" s="797"/>
      <c r="C33" s="797"/>
      <c r="D33" s="798"/>
      <c r="E33" s="257"/>
      <c r="F33" s="873" t="s">
        <v>317</v>
      </c>
      <c r="G33" s="874"/>
      <c r="H33" s="874"/>
      <c r="I33" s="874"/>
      <c r="J33" s="874"/>
      <c r="K33" s="875"/>
    </row>
    <row r="34" spans="1:11" ht="14" thickBot="1" x14ac:dyDescent="0.2">
      <c r="A34" s="137"/>
      <c r="B34" s="799" t="s">
        <v>318</v>
      </c>
      <c r="C34" s="64" t="s">
        <v>319</v>
      </c>
      <c r="D34" s="241" t="s">
        <v>320</v>
      </c>
      <c r="E34" s="257"/>
      <c r="F34" s="137"/>
      <c r="G34" s="702" t="s">
        <v>321</v>
      </c>
      <c r="H34" s="702" t="s">
        <v>322</v>
      </c>
      <c r="I34" s="711" t="s">
        <v>323</v>
      </c>
      <c r="J34" s="702" t="s">
        <v>324</v>
      </c>
      <c r="K34" s="712" t="s">
        <v>325</v>
      </c>
    </row>
    <row r="35" spans="1:11" x14ac:dyDescent="0.15">
      <c r="A35" s="800" t="s">
        <v>326</v>
      </c>
      <c r="B35" s="801"/>
      <c r="C35" s="802"/>
      <c r="D35" s="803">
        <f>Proforma!D6</f>
        <v>4503406</v>
      </c>
      <c r="E35" s="257"/>
      <c r="F35" s="327" t="s">
        <v>327</v>
      </c>
      <c r="J35" s="322"/>
      <c r="K35" s="323"/>
    </row>
    <row r="36" spans="1:11" x14ac:dyDescent="0.15">
      <c r="A36" s="11" t="s">
        <v>328</v>
      </c>
      <c r="B36" s="242"/>
      <c r="C36" s="243">
        <f t="shared" ref="C36:C49" si="0">B36*$C$35</f>
        <v>0</v>
      </c>
      <c r="D36" s="243">
        <f t="shared" ref="D36:D49" si="1">B36*$D$35</f>
        <v>0</v>
      </c>
      <c r="E36" s="257"/>
      <c r="F36" s="641" t="s">
        <v>329</v>
      </c>
      <c r="G36" s="352"/>
      <c r="H36" s="353"/>
      <c r="I36" s="324">
        <f>(H36*G36)*52/12</f>
        <v>0</v>
      </c>
      <c r="J36" s="322"/>
      <c r="K36" s="323"/>
    </row>
    <row r="37" spans="1:11" x14ac:dyDescent="0.15">
      <c r="A37" s="636"/>
      <c r="B37" s="242"/>
      <c r="C37" s="243">
        <f t="shared" si="0"/>
        <v>0</v>
      </c>
      <c r="D37" s="243">
        <f t="shared" si="1"/>
        <v>0</v>
      </c>
      <c r="E37" s="257"/>
      <c r="F37" s="641" t="s">
        <v>330</v>
      </c>
      <c r="G37" s="352"/>
      <c r="H37" s="353"/>
      <c r="I37" s="324">
        <f t="shared" ref="I37:I38" si="2">(H37*G37)*52/12</f>
        <v>0</v>
      </c>
      <c r="J37" s="322"/>
      <c r="K37" s="323"/>
    </row>
    <row r="38" spans="1:11" x14ac:dyDescent="0.15">
      <c r="A38" s="636"/>
      <c r="B38" s="242"/>
      <c r="C38" s="243">
        <f t="shared" si="0"/>
        <v>0</v>
      </c>
      <c r="D38" s="243">
        <f t="shared" si="1"/>
        <v>0</v>
      </c>
      <c r="E38" s="257"/>
      <c r="F38" s="641" t="s">
        <v>331</v>
      </c>
      <c r="G38" s="352"/>
      <c r="H38" s="353"/>
      <c r="I38" s="324">
        <f t="shared" si="2"/>
        <v>0</v>
      </c>
      <c r="J38" s="322"/>
      <c r="K38" s="323"/>
    </row>
    <row r="39" spans="1:11" x14ac:dyDescent="0.15">
      <c r="A39" s="636"/>
      <c r="B39" s="242"/>
      <c r="C39" s="243">
        <f t="shared" si="0"/>
        <v>0</v>
      </c>
      <c r="D39" s="243">
        <f t="shared" si="1"/>
        <v>0</v>
      </c>
      <c r="E39" s="257"/>
      <c r="F39" s="804" t="s">
        <v>332</v>
      </c>
      <c r="G39" s="805">
        <f>SUM(G36:G38)</f>
        <v>0</v>
      </c>
      <c r="H39" s="806" t="str">
        <f>IF(ISERROR((SUMPRODUCT(G36:G38,H36:H38)/G39)),"",(SUMPRODUCT(G36:G38,H36:H38)/G39))</f>
        <v/>
      </c>
      <c r="I39" s="807">
        <f>SUM(I36:I38)</f>
        <v>0</v>
      </c>
      <c r="J39" s="805">
        <f>IF(G39&gt;0,COUNT(G36:G38),0)</f>
        <v>0</v>
      </c>
      <c r="K39" s="808">
        <f>G39/40</f>
        <v>0</v>
      </c>
    </row>
    <row r="40" spans="1:11" x14ac:dyDescent="0.15">
      <c r="A40" s="636"/>
      <c r="B40" s="242"/>
      <c r="C40" s="243">
        <f t="shared" si="0"/>
        <v>0</v>
      </c>
      <c r="D40" s="243">
        <f t="shared" si="1"/>
        <v>0</v>
      </c>
      <c r="E40" s="257"/>
      <c r="F40" s="137"/>
      <c r="H40" s="268"/>
      <c r="I40" s="324"/>
      <c r="K40" s="323"/>
    </row>
    <row r="41" spans="1:11" x14ac:dyDescent="0.15">
      <c r="A41" s="636"/>
      <c r="B41" s="242"/>
      <c r="C41" s="243">
        <f t="shared" si="0"/>
        <v>0</v>
      </c>
      <c r="D41" s="243">
        <f t="shared" si="1"/>
        <v>0</v>
      </c>
      <c r="E41" s="257"/>
      <c r="F41" s="327" t="s">
        <v>333</v>
      </c>
      <c r="H41" s="268"/>
      <c r="I41" s="324"/>
      <c r="K41" s="323"/>
    </row>
    <row r="42" spans="1:11" x14ac:dyDescent="0.15">
      <c r="A42" s="636"/>
      <c r="B42" s="242"/>
      <c r="C42" s="243">
        <f t="shared" si="0"/>
        <v>0</v>
      </c>
      <c r="D42" s="243">
        <f t="shared" si="1"/>
        <v>0</v>
      </c>
      <c r="E42" s="257"/>
      <c r="F42" s="641" t="s">
        <v>334</v>
      </c>
      <c r="G42" s="352"/>
      <c r="H42" s="353"/>
      <c r="I42" s="324">
        <f>(H42*G42)*52/12</f>
        <v>0</v>
      </c>
      <c r="J42" s="322"/>
      <c r="K42" s="323"/>
    </row>
    <row r="43" spans="1:11" x14ac:dyDescent="0.15">
      <c r="A43" s="636"/>
      <c r="B43" s="242"/>
      <c r="C43" s="243">
        <f t="shared" si="0"/>
        <v>0</v>
      </c>
      <c r="D43" s="243">
        <f t="shared" si="1"/>
        <v>0</v>
      </c>
      <c r="E43" s="257"/>
      <c r="F43" s="641" t="s">
        <v>335</v>
      </c>
      <c r="G43" s="352"/>
      <c r="H43" s="353"/>
      <c r="I43" s="324">
        <f t="shared" ref="I43:I44" si="3">(H43*G43)*52/12</f>
        <v>0</v>
      </c>
      <c r="J43" s="322"/>
      <c r="K43" s="323"/>
    </row>
    <row r="44" spans="1:11" x14ac:dyDescent="0.15">
      <c r="A44" s="636"/>
      <c r="B44" s="242"/>
      <c r="C44" s="243">
        <f t="shared" si="0"/>
        <v>0</v>
      </c>
      <c r="D44" s="243">
        <f t="shared" si="1"/>
        <v>0</v>
      </c>
      <c r="E44" s="257"/>
      <c r="F44" s="641" t="s">
        <v>331</v>
      </c>
      <c r="G44" s="352"/>
      <c r="H44" s="353"/>
      <c r="I44" s="324">
        <f t="shared" si="3"/>
        <v>0</v>
      </c>
      <c r="J44" s="322"/>
      <c r="K44" s="323"/>
    </row>
    <row r="45" spans="1:11" x14ac:dyDescent="0.15">
      <c r="A45" s="636"/>
      <c r="B45" s="242"/>
      <c r="C45" s="243">
        <f t="shared" si="0"/>
        <v>0</v>
      </c>
      <c r="D45" s="243">
        <f t="shared" si="1"/>
        <v>0</v>
      </c>
      <c r="E45" s="257"/>
      <c r="F45" s="804" t="s">
        <v>332</v>
      </c>
      <c r="G45" s="805">
        <f>SUM(G42:G44)</f>
        <v>0</v>
      </c>
      <c r="H45" s="806" t="str">
        <f>IF(ISERROR((SUMPRODUCT(G42:G44,H42:H44)/G45)),"",(SUMPRODUCT(G42:G44,H42:H44)/G45))</f>
        <v/>
      </c>
      <c r="I45" s="807">
        <f>SUM(I42:I44)</f>
        <v>0</v>
      </c>
      <c r="J45" s="805">
        <f>IF(G45&gt;0,COUNT(G42:G44),0)</f>
        <v>0</v>
      </c>
      <c r="K45" s="809">
        <f>G45/40</f>
        <v>0</v>
      </c>
    </row>
    <row r="46" spans="1:11" x14ac:dyDescent="0.15">
      <c r="A46" s="636"/>
      <c r="B46" s="242"/>
      <c r="C46" s="243">
        <f t="shared" si="0"/>
        <v>0</v>
      </c>
      <c r="D46" s="243">
        <f t="shared" si="1"/>
        <v>0</v>
      </c>
      <c r="E46" s="257"/>
      <c r="F46" s="137"/>
      <c r="H46" s="268"/>
      <c r="I46" s="324"/>
      <c r="K46" s="323"/>
    </row>
    <row r="47" spans="1:11" x14ac:dyDescent="0.15">
      <c r="A47" s="636"/>
      <c r="B47" s="242"/>
      <c r="C47" s="243">
        <f t="shared" si="0"/>
        <v>0</v>
      </c>
      <c r="D47" s="243">
        <f t="shared" si="1"/>
        <v>0</v>
      </c>
      <c r="E47" s="258"/>
      <c r="F47" s="327" t="s">
        <v>336</v>
      </c>
      <c r="G47" s="322"/>
      <c r="H47" s="713"/>
      <c r="I47" s="324"/>
      <c r="J47" s="322"/>
      <c r="K47" s="323"/>
    </row>
    <row r="48" spans="1:11" x14ac:dyDescent="0.15">
      <c r="A48" s="636"/>
      <c r="B48" s="242"/>
      <c r="C48" s="243">
        <f t="shared" si="0"/>
        <v>0</v>
      </c>
      <c r="D48" s="243">
        <f t="shared" si="1"/>
        <v>0</v>
      </c>
      <c r="E48" s="258"/>
      <c r="F48" s="641" t="s">
        <v>337</v>
      </c>
      <c r="G48" s="352"/>
      <c r="H48" s="353"/>
      <c r="I48" s="324">
        <f t="shared" ref="I48:I50" si="4">(H48*G48)*52/12</f>
        <v>0</v>
      </c>
      <c r="K48" s="139"/>
    </row>
    <row r="49" spans="1:11" x14ac:dyDescent="0.15">
      <c r="A49" s="636"/>
      <c r="B49" s="242"/>
      <c r="C49" s="243">
        <f t="shared" si="0"/>
        <v>0</v>
      </c>
      <c r="D49" s="243">
        <f t="shared" si="1"/>
        <v>0</v>
      </c>
      <c r="F49" s="641" t="s">
        <v>338</v>
      </c>
      <c r="G49" s="352"/>
      <c r="H49" s="353"/>
      <c r="I49" s="324">
        <f t="shared" si="4"/>
        <v>0</v>
      </c>
      <c r="J49" s="322"/>
      <c r="K49" s="323"/>
    </row>
    <row r="50" spans="1:11" x14ac:dyDescent="0.15">
      <c r="A50" s="810" t="s">
        <v>339</v>
      </c>
      <c r="B50" s="811">
        <f>SUM(B36:B49)</f>
        <v>0</v>
      </c>
      <c r="C50" s="812">
        <f>SUM(C36:C49)</f>
        <v>0</v>
      </c>
      <c r="D50" s="812">
        <f>SUM(D36:D49)</f>
        <v>0</v>
      </c>
      <c r="F50" s="641" t="s">
        <v>340</v>
      </c>
      <c r="G50" s="352"/>
      <c r="H50" s="353"/>
      <c r="I50" s="324">
        <f t="shared" si="4"/>
        <v>0</v>
      </c>
      <c r="J50" s="322"/>
      <c r="K50" s="323"/>
    </row>
    <row r="51" spans="1:11" x14ac:dyDescent="0.15">
      <c r="A51" s="320" t="s">
        <v>341</v>
      </c>
      <c r="B51" s="242"/>
      <c r="C51" s="278"/>
      <c r="D51" s="278"/>
      <c r="E51" s="259"/>
      <c r="F51" s="804" t="s">
        <v>342</v>
      </c>
      <c r="G51" s="805">
        <f>SUM(G47:G50)</f>
        <v>0</v>
      </c>
      <c r="H51" s="806" t="str">
        <f>IF(ISERROR((SUMPRODUCT(G47:G50,H47:H50)/G51)),"",(SUMPRODUCT(G47:G50,H47:H50)/G51))</f>
        <v/>
      </c>
      <c r="I51" s="807">
        <f>SUM(I47:I50)</f>
        <v>0</v>
      </c>
      <c r="J51" s="805">
        <f>IF(G51&gt;0,COUNT(G48:G50),0)</f>
        <v>0</v>
      </c>
      <c r="K51" s="809">
        <f>G51/40</f>
        <v>0</v>
      </c>
    </row>
    <row r="52" spans="1:11" x14ac:dyDescent="0.15">
      <c r="A52" s="636"/>
      <c r="B52" s="242"/>
      <c r="C52" s="243"/>
      <c r="D52" s="243">
        <f>C52</f>
        <v>0</v>
      </c>
      <c r="F52" s="641"/>
      <c r="I52" s="324"/>
      <c r="K52" s="323"/>
    </row>
    <row r="53" spans="1:11" x14ac:dyDescent="0.15">
      <c r="A53" s="714"/>
      <c r="B53" s="244"/>
      <c r="C53" s="245"/>
      <c r="D53" s="245">
        <f>C53</f>
        <v>0</v>
      </c>
      <c r="E53" s="260"/>
      <c r="F53" s="813" t="s">
        <v>343</v>
      </c>
      <c r="G53" s="814">
        <f>G51+G45+G39</f>
        <v>0</v>
      </c>
      <c r="H53" s="815" t="str">
        <f>IF(ISERROR(((I53/G53)*12/52)),"",((I53/G53)*12/52))</f>
        <v/>
      </c>
      <c r="I53" s="816">
        <f>I51+I45+I39</f>
        <v>0</v>
      </c>
      <c r="J53" s="817">
        <f>J51+J45+J39</f>
        <v>0</v>
      </c>
      <c r="K53" s="818">
        <f>K51+K45+K39</f>
        <v>0</v>
      </c>
    </row>
    <row r="54" spans="1:11" x14ac:dyDescent="0.15">
      <c r="A54" s="819" t="s">
        <v>48</v>
      </c>
      <c r="B54" s="820"/>
      <c r="C54" s="821">
        <f>SUM(C50:C53)</f>
        <v>0</v>
      </c>
      <c r="D54" s="821">
        <f>SUM(D50:D53)</f>
        <v>0</v>
      </c>
      <c r="E54" s="260"/>
    </row>
    <row r="55" spans="1:11" x14ac:dyDescent="0.15">
      <c r="A55" s="253"/>
      <c r="B55" s="279"/>
      <c r="C55" s="280" t="e">
        <f>C54/C35</f>
        <v>#DIV/0!</v>
      </c>
      <c r="D55" s="281">
        <f>D54/D35</f>
        <v>0</v>
      </c>
    </row>
    <row r="56" spans="1:11" x14ac:dyDescent="0.15">
      <c r="A56" s="138"/>
      <c r="C56" s="243"/>
      <c r="D56" s="139"/>
      <c r="E56" s="261"/>
    </row>
    <row r="57" spans="1:11" x14ac:dyDescent="0.15">
      <c r="A57" s="138"/>
      <c r="B57" s="633" t="s">
        <v>344</v>
      </c>
      <c r="C57" s="145">
        <f>D54-C54</f>
        <v>0</v>
      </c>
      <c r="D57" s="139" t="s">
        <v>345</v>
      </c>
      <c r="E57" s="261"/>
    </row>
    <row r="58" spans="1:11" x14ac:dyDescent="0.15">
      <c r="A58" s="138"/>
      <c r="C58" s="145">
        <f>C57*D58</f>
        <v>0</v>
      </c>
      <c r="D58" s="246">
        <v>0.95</v>
      </c>
      <c r="E58" s="262"/>
    </row>
    <row r="59" spans="1:11" x14ac:dyDescent="0.15">
      <c r="A59" s="138"/>
      <c r="C59" s="278">
        <f>C58/NoOfSpaces/12</f>
        <v>0</v>
      </c>
      <c r="D59" s="139" t="s">
        <v>346</v>
      </c>
    </row>
    <row r="60" spans="1:11" x14ac:dyDescent="0.15">
      <c r="A60" s="137"/>
      <c r="C60" s="242"/>
      <c r="D60" s="139">
        <f>C57/NoOfSpaces/12</f>
        <v>0</v>
      </c>
      <c r="E60" s="263"/>
    </row>
    <row r="61" spans="1:11" x14ac:dyDescent="0.15">
      <c r="A61" s="247"/>
      <c r="B61" s="248"/>
      <c r="C61" s="245"/>
      <c r="D61" s="249"/>
    </row>
    <row r="62" spans="1:11" x14ac:dyDescent="0.15">
      <c r="C62" s="141"/>
    </row>
    <row r="63" spans="1:11" x14ac:dyDescent="0.15">
      <c r="A63" s="784" t="s">
        <v>347</v>
      </c>
      <c r="B63" s="785"/>
      <c r="C63" s="822" t="s">
        <v>43</v>
      </c>
      <c r="D63" s="823">
        <f>Proforma!D6</f>
        <v>4503406</v>
      </c>
      <c r="E63" s="240"/>
    </row>
    <row r="64" spans="1:11" x14ac:dyDescent="0.15">
      <c r="A64" s="824"/>
      <c r="B64" s="825"/>
      <c r="C64" s="826"/>
      <c r="D64" s="827"/>
      <c r="E64" s="240"/>
    </row>
    <row r="65" spans="1:6" x14ac:dyDescent="0.15">
      <c r="A65" s="828" t="s">
        <v>348</v>
      </c>
      <c r="B65" s="829" t="s">
        <v>349</v>
      </c>
      <c r="C65" s="829"/>
      <c r="D65" s="830" t="s">
        <v>318</v>
      </c>
      <c r="E65" s="240"/>
    </row>
    <row r="66" spans="1:6" x14ac:dyDescent="0.15">
      <c r="A66" s="790"/>
      <c r="B66" s="791"/>
      <c r="C66" s="791"/>
      <c r="D66" s="831"/>
      <c r="E66" s="256"/>
    </row>
    <row r="67" spans="1:6" x14ac:dyDescent="0.15">
      <c r="A67" s="133" t="s">
        <v>350</v>
      </c>
      <c r="B67" s="679"/>
      <c r="D67" s="250">
        <v>1200000</v>
      </c>
      <c r="E67" s="260" t="s">
        <v>351</v>
      </c>
      <c r="F67" s="664">
        <f>D67/D63</f>
        <v>0.2664649822822992</v>
      </c>
    </row>
    <row r="68" spans="1:6" x14ac:dyDescent="0.15">
      <c r="A68" s="135"/>
      <c r="B68" s="251"/>
      <c r="C68" s="82"/>
      <c r="D68" s="252"/>
      <c r="E68" s="12"/>
    </row>
    <row r="69" spans="1:6" x14ac:dyDescent="0.15">
      <c r="A69" s="832" t="s">
        <v>352</v>
      </c>
      <c r="B69" s="833" t="s">
        <v>353</v>
      </c>
      <c r="C69" s="791"/>
      <c r="D69" s="831"/>
      <c r="E69" s="12"/>
    </row>
    <row r="70" spans="1:6" x14ac:dyDescent="0.15">
      <c r="A70" s="253" t="s">
        <v>354</v>
      </c>
      <c r="D70" s="276"/>
      <c r="E70" s="12"/>
    </row>
    <row r="71" spans="1:6" x14ac:dyDescent="0.15">
      <c r="A71" s="253" t="s">
        <v>355</v>
      </c>
      <c r="C71" s="634"/>
      <c r="D71" s="276">
        <v>0</v>
      </c>
      <c r="E71" s="240"/>
    </row>
    <row r="72" spans="1:6" x14ac:dyDescent="0.15">
      <c r="A72" s="253" t="s">
        <v>356</v>
      </c>
      <c r="C72" s="634"/>
      <c r="D72" s="276">
        <v>0</v>
      </c>
      <c r="E72" s="240"/>
    </row>
    <row r="73" spans="1:6" x14ac:dyDescent="0.15">
      <c r="A73" s="135"/>
      <c r="B73" s="82"/>
      <c r="C73" s="715" t="s">
        <v>357</v>
      </c>
      <c r="D73" s="144">
        <f>SUM(D70:D72)</f>
        <v>0</v>
      </c>
      <c r="E73" s="256"/>
    </row>
    <row r="74" spans="1:6" x14ac:dyDescent="0.15">
      <c r="A74" s="832" t="s">
        <v>358</v>
      </c>
      <c r="B74" s="833" t="s">
        <v>359</v>
      </c>
      <c r="C74" s="833" t="s">
        <v>360</v>
      </c>
      <c r="D74" s="831"/>
    </row>
    <row r="75" spans="1:6" x14ac:dyDescent="0.15">
      <c r="A75" s="253" t="s">
        <v>361</v>
      </c>
      <c r="B75" s="352">
        <v>28</v>
      </c>
      <c r="C75" s="270">
        <v>15000</v>
      </c>
      <c r="D75" s="254">
        <f>B75*C75</f>
        <v>420000</v>
      </c>
    </row>
    <row r="76" spans="1:6" x14ac:dyDescent="0.15">
      <c r="A76" s="253"/>
      <c r="B76" s="83"/>
      <c r="D76" s="254">
        <f>B76*C76</f>
        <v>0</v>
      </c>
      <c r="E76" s="256"/>
    </row>
    <row r="77" spans="1:6" x14ac:dyDescent="0.15">
      <c r="A77" s="253"/>
      <c r="B77" s="83"/>
      <c r="D77" s="254">
        <f>B77*C77</f>
        <v>0</v>
      </c>
      <c r="E77" s="240"/>
    </row>
    <row r="78" spans="1:6" x14ac:dyDescent="0.15">
      <c r="A78" s="137"/>
      <c r="C78" s="634"/>
      <c r="D78" s="143"/>
      <c r="E78" s="264"/>
    </row>
    <row r="79" spans="1:6" x14ac:dyDescent="0.15">
      <c r="A79" s="140"/>
      <c r="B79" s="82"/>
      <c r="C79" s="634" t="s">
        <v>362</v>
      </c>
      <c r="D79" s="143">
        <f>SUM(D75:D77)</f>
        <v>420000</v>
      </c>
      <c r="E79" s="633"/>
    </row>
    <row r="80" spans="1:6" x14ac:dyDescent="0.15">
      <c r="A80" s="832" t="s">
        <v>363</v>
      </c>
      <c r="B80" s="833" t="s">
        <v>364</v>
      </c>
      <c r="C80" s="791"/>
      <c r="D80" s="834">
        <f>D63-D67-D73-D79</f>
        <v>2883406</v>
      </c>
      <c r="E80" s="240"/>
    </row>
    <row r="81" spans="1:4" x14ac:dyDescent="0.15">
      <c r="A81" s="140"/>
      <c r="B81" s="82"/>
      <c r="C81" s="82"/>
      <c r="D81" s="252"/>
    </row>
    <row r="82" spans="1:4" x14ac:dyDescent="0.15">
      <c r="A82" s="137"/>
    </row>
    <row r="83" spans="1:4" x14ac:dyDescent="0.15">
      <c r="A83" s="832" t="s">
        <v>365</v>
      </c>
      <c r="B83" s="791"/>
      <c r="C83" s="835"/>
      <c r="D83" s="836">
        <f>D80</f>
        <v>2883406</v>
      </c>
    </row>
    <row r="84" spans="1:4" x14ac:dyDescent="0.15">
      <c r="A84" s="262" t="s">
        <v>366</v>
      </c>
      <c r="B84" s="11"/>
      <c r="D84" s="142">
        <f ca="1">Proforma!F87</f>
        <v>152637.00400000002</v>
      </c>
    </row>
    <row r="85" spans="1:4" x14ac:dyDescent="0.15">
      <c r="A85" s="265" t="s">
        <v>367</v>
      </c>
      <c r="B85" s="136"/>
      <c r="C85" s="82"/>
      <c r="D85" s="255">
        <f ca="1">D84-D83</f>
        <v>-2730768.9959999998</v>
      </c>
    </row>
    <row r="86" spans="1:4" x14ac:dyDescent="0.15">
      <c r="D86" s="633"/>
    </row>
    <row r="87" spans="1:4" x14ac:dyDescent="0.15">
      <c r="C87" s="634"/>
      <c r="D87" s="277"/>
    </row>
    <row r="192" ht="12.75" customHeight="1" x14ac:dyDescent="0.15"/>
  </sheetData>
  <sheetProtection algorithmName="SHA-512" hashValue="WuL7rs0CmYzf+vMgGXG4WGuRSHPsGnoogj9dzanr24UP8PcPs3LHG7rg4XF+TbrY2XbGZGhjWNPRAx44ssGg1g==" saltValue="avN+/mM3m9QU/2KiZrs95w==" spinCount="100000" sheet="1" objects="1" scenarios="1"/>
  <mergeCells count="1">
    <mergeCell ref="F33:K33"/>
  </mergeCells>
  <phoneticPr fontId="0" type="noConversion"/>
  <pageMargins left="0.75" right="0.75" top="1" bottom="1" header="0.5" footer="0.5"/>
  <pageSetup orientation="portrait" verticalDpi="0"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sheetPr>
  <dimension ref="A1:M21"/>
  <sheetViews>
    <sheetView workbookViewId="0">
      <selection activeCell="M58" sqref="M58"/>
    </sheetView>
  </sheetViews>
  <sheetFormatPr baseColWidth="10" defaultColWidth="8.83203125" defaultRowHeight="13" x14ac:dyDescent="0.15"/>
  <cols>
    <col min="1" max="1" width="25" customWidth="1"/>
    <col min="2" max="2" width="9" bestFit="1" customWidth="1"/>
    <col min="3" max="3" width="16" customWidth="1"/>
    <col min="4" max="4" width="7.1640625" bestFit="1" customWidth="1"/>
    <col min="5" max="5" width="4.1640625" bestFit="1" customWidth="1"/>
    <col min="6" max="6" width="14.1640625" bestFit="1" customWidth="1"/>
    <col min="7" max="7" width="5.1640625" bestFit="1" customWidth="1"/>
    <col min="8" max="8" width="10.83203125" bestFit="1" customWidth="1"/>
    <col min="9" max="9" width="11.5" customWidth="1"/>
    <col min="10" max="10" width="2.83203125" customWidth="1"/>
    <col min="11" max="11" width="10" customWidth="1"/>
    <col min="12" max="12" width="14.5" bestFit="1" customWidth="1"/>
    <col min="13" max="13" width="37.5" bestFit="1" customWidth="1"/>
  </cols>
  <sheetData>
    <row r="1" spans="1:13" ht="16" thickBot="1" x14ac:dyDescent="0.25">
      <c r="A1" s="882" t="s">
        <v>368</v>
      </c>
      <c r="B1" s="882"/>
      <c r="C1" s="882"/>
      <c r="D1" s="882"/>
      <c r="E1" s="882"/>
      <c r="F1" s="633"/>
      <c r="G1" s="882" t="s">
        <v>369</v>
      </c>
      <c r="H1" s="882"/>
      <c r="I1" s="882"/>
      <c r="J1" s="548"/>
      <c r="K1" s="882" t="s">
        <v>370</v>
      </c>
      <c r="L1" s="882"/>
      <c r="M1" s="882"/>
    </row>
    <row r="2" spans="1:13" ht="14" x14ac:dyDescent="0.15">
      <c r="A2" s="633" t="s">
        <v>371</v>
      </c>
      <c r="B2" s="643"/>
      <c r="C2" s="633"/>
      <c r="E2" s="634" t="s">
        <v>372</v>
      </c>
      <c r="F2" s="633"/>
      <c r="G2" s="883"/>
      <c r="H2" s="884"/>
      <c r="I2" s="884"/>
      <c r="K2" s="633"/>
      <c r="M2" s="633"/>
    </row>
    <row r="3" spans="1:13" ht="16" thickBot="1" x14ac:dyDescent="0.25">
      <c r="A3" s="633" t="s">
        <v>373</v>
      </c>
      <c r="B3" s="549" t="s">
        <v>374</v>
      </c>
      <c r="C3" s="550" t="s">
        <v>375</v>
      </c>
      <c r="D3" s="551" t="s">
        <v>376</v>
      </c>
      <c r="F3" s="633"/>
      <c r="G3" s="644" t="s">
        <v>377</v>
      </c>
      <c r="H3" s="645" t="s">
        <v>378</v>
      </c>
      <c r="I3" s="646" t="s">
        <v>379</v>
      </c>
      <c r="K3" t="s">
        <v>380</v>
      </c>
    </row>
    <row r="4" spans="1:13" ht="15" x14ac:dyDescent="0.2">
      <c r="A4" s="636" t="s">
        <v>381</v>
      </c>
      <c r="B4" s="647">
        <v>643</v>
      </c>
      <c r="C4" s="647">
        <v>933</v>
      </c>
      <c r="D4" s="647"/>
      <c r="E4" s="66"/>
      <c r="G4" s="648">
        <v>1890</v>
      </c>
      <c r="H4" s="649">
        <v>836</v>
      </c>
      <c r="I4" s="650" t="s">
        <v>382</v>
      </c>
      <c r="K4" t="s">
        <v>383</v>
      </c>
    </row>
    <row r="5" spans="1:13" ht="15" x14ac:dyDescent="0.2">
      <c r="A5" s="633" t="s">
        <v>384</v>
      </c>
      <c r="B5" s="651">
        <v>178000</v>
      </c>
      <c r="C5" s="647"/>
      <c r="D5" s="652"/>
      <c r="E5" s="66"/>
      <c r="G5" s="648">
        <v>1900</v>
      </c>
      <c r="H5" s="653">
        <v>1044</v>
      </c>
      <c r="I5" s="654">
        <v>0.249</v>
      </c>
      <c r="K5" s="633"/>
      <c r="M5" s="633"/>
    </row>
    <row r="6" spans="1:13" ht="15" x14ac:dyDescent="0.2">
      <c r="A6" s="633" t="s">
        <v>385</v>
      </c>
      <c r="B6" s="655">
        <v>2938</v>
      </c>
      <c r="C6" s="656"/>
      <c r="D6" s="639"/>
      <c r="E6" s="66"/>
      <c r="G6" s="648">
        <v>1910</v>
      </c>
      <c r="H6" s="653">
        <v>1206</v>
      </c>
      <c r="I6" s="654">
        <v>0.155</v>
      </c>
      <c r="K6" s="633"/>
      <c r="L6" s="324"/>
      <c r="M6" s="633"/>
    </row>
    <row r="7" spans="1:13" ht="15" x14ac:dyDescent="0.2">
      <c r="A7" s="633" t="s">
        <v>386</v>
      </c>
      <c r="B7" s="651">
        <v>39107</v>
      </c>
      <c r="C7" s="647"/>
      <c r="D7" s="639"/>
      <c r="E7" s="66"/>
      <c r="G7" s="648">
        <v>1920</v>
      </c>
      <c r="H7" s="653">
        <v>1212</v>
      </c>
      <c r="I7" s="654">
        <v>5.0000000000000001E-3</v>
      </c>
      <c r="K7" s="633"/>
      <c r="L7" s="324"/>
      <c r="M7" s="633"/>
    </row>
    <row r="8" spans="1:13" ht="16" thickBot="1" x14ac:dyDescent="0.25">
      <c r="A8" s="633" t="s">
        <v>387</v>
      </c>
      <c r="B8" s="657"/>
      <c r="C8" s="658"/>
      <c r="D8" s="639"/>
      <c r="E8" s="66"/>
      <c r="G8" s="659">
        <v>1930</v>
      </c>
      <c r="H8" s="660">
        <v>1333</v>
      </c>
      <c r="I8" s="661">
        <v>0.1</v>
      </c>
      <c r="K8" s="633"/>
      <c r="L8" s="324"/>
      <c r="M8" s="633"/>
    </row>
    <row r="9" spans="1:13" ht="15" x14ac:dyDescent="0.2">
      <c r="A9" s="633"/>
      <c r="B9" s="651" t="s">
        <v>388</v>
      </c>
      <c r="C9" s="658"/>
      <c r="D9" s="639"/>
      <c r="E9" s="66"/>
      <c r="F9" s="66"/>
      <c r="G9" s="648">
        <v>1940</v>
      </c>
      <c r="H9" s="653">
        <v>1323</v>
      </c>
      <c r="I9" s="650" t="s">
        <v>389</v>
      </c>
      <c r="K9" s="633"/>
      <c r="L9" s="324"/>
    </row>
    <row r="10" spans="1:13" ht="15" x14ac:dyDescent="0.2">
      <c r="A10" s="633"/>
      <c r="B10" s="658" t="s">
        <v>390</v>
      </c>
      <c r="C10" s="658"/>
      <c r="D10" s="639"/>
      <c r="E10" s="66"/>
      <c r="F10" s="66"/>
      <c r="G10" s="648">
        <v>1950</v>
      </c>
      <c r="H10" s="653">
        <v>1614</v>
      </c>
      <c r="I10" s="654">
        <v>0.22</v>
      </c>
      <c r="L10" s="324"/>
    </row>
    <row r="11" spans="1:13" ht="15" x14ac:dyDescent="0.2">
      <c r="A11" s="66"/>
      <c r="B11" s="662" t="s">
        <v>391</v>
      </c>
      <c r="C11" s="639"/>
      <c r="D11" s="639"/>
      <c r="E11" s="66"/>
      <c r="F11" s="66"/>
      <c r="G11" s="648">
        <v>1960</v>
      </c>
      <c r="H11" s="653">
        <v>2560</v>
      </c>
      <c r="I11" s="654">
        <v>0.58599999999999997</v>
      </c>
      <c r="L11" s="324"/>
    </row>
    <row r="12" spans="1:13" ht="15" x14ac:dyDescent="0.15">
      <c r="B12" t="s">
        <v>392</v>
      </c>
      <c r="C12" s="640"/>
      <c r="D12" s="640"/>
      <c r="G12" s="648">
        <v>1970</v>
      </c>
      <c r="H12" s="653">
        <v>3139</v>
      </c>
      <c r="I12" s="654">
        <v>0.22600000000000001</v>
      </c>
      <c r="L12" s="324"/>
    </row>
    <row r="13" spans="1:13" ht="16" thickBot="1" x14ac:dyDescent="0.25">
      <c r="A13" s="66"/>
      <c r="B13" s="662" t="s">
        <v>393</v>
      </c>
      <c r="C13" s="66"/>
      <c r="G13" s="659">
        <v>1980</v>
      </c>
      <c r="H13" s="660">
        <v>3371</v>
      </c>
      <c r="I13" s="661">
        <v>7.3999999999999996E-2</v>
      </c>
      <c r="L13" s="324"/>
    </row>
    <row r="14" spans="1:13" ht="15" x14ac:dyDescent="0.15">
      <c r="B14" s="640"/>
      <c r="G14" s="648">
        <v>1990</v>
      </c>
      <c r="H14" s="653">
        <v>3083</v>
      </c>
      <c r="I14" s="650" t="s">
        <v>394</v>
      </c>
      <c r="L14" s="324"/>
    </row>
    <row r="15" spans="1:13" ht="15" x14ac:dyDescent="0.15">
      <c r="A15" s="633"/>
      <c r="B15" s="662"/>
      <c r="G15" s="648">
        <v>2000</v>
      </c>
      <c r="H15" s="653">
        <v>3161</v>
      </c>
      <c r="I15" s="654">
        <v>2.5000000000000001E-2</v>
      </c>
    </row>
    <row r="16" spans="1:13" ht="15" x14ac:dyDescent="0.15">
      <c r="B16" s="640"/>
      <c r="G16" s="648">
        <v>2010</v>
      </c>
      <c r="H16" s="653">
        <v>2968</v>
      </c>
      <c r="I16" s="650" t="s">
        <v>395</v>
      </c>
    </row>
    <row r="17" spans="2:9" ht="14" x14ac:dyDescent="0.15">
      <c r="B17" s="662"/>
      <c r="G17" s="663">
        <v>2019</v>
      </c>
      <c r="H17" s="653">
        <v>2890</v>
      </c>
      <c r="I17" s="650" t="s">
        <v>396</v>
      </c>
    </row>
    <row r="18" spans="2:9" ht="16" thickBot="1" x14ac:dyDescent="0.2">
      <c r="B18" s="640"/>
      <c r="G18" s="648">
        <v>2020</v>
      </c>
      <c r="H18" s="653">
        <v>3197</v>
      </c>
      <c r="I18" s="654">
        <v>0.106</v>
      </c>
    </row>
    <row r="19" spans="2:9" x14ac:dyDescent="0.15">
      <c r="B19" s="662"/>
      <c r="G19" s="885" t="s">
        <v>397</v>
      </c>
      <c r="H19" s="886"/>
      <c r="I19" s="887"/>
    </row>
    <row r="20" spans="2:9" x14ac:dyDescent="0.15">
      <c r="G20" s="876" t="s">
        <v>398</v>
      </c>
      <c r="H20" s="877"/>
      <c r="I20" s="878"/>
    </row>
    <row r="21" spans="2:9" ht="16" thickBot="1" x14ac:dyDescent="0.2">
      <c r="G21" s="879" t="s">
        <v>399</v>
      </c>
      <c r="H21" s="880"/>
      <c r="I21" s="881"/>
    </row>
  </sheetData>
  <mergeCells count="7">
    <mergeCell ref="G20:I20"/>
    <mergeCell ref="G21:I21"/>
    <mergeCell ref="A1:E1"/>
    <mergeCell ref="G1:I1"/>
    <mergeCell ref="K1:M1"/>
    <mergeCell ref="G2:I2"/>
    <mergeCell ref="G19:I19"/>
  </mergeCells>
  <hyperlinks>
    <hyperlink ref="G4" r:id="rId1" tooltip="1890 United States census" display="https://en.wikipedia.org/wiki/1890_United_States_census" xr:uid="{FB9238D1-2B91-4367-B003-3465691BCE9F}"/>
    <hyperlink ref="G5" r:id="rId2" tooltip="1900 United States census" display="https://en.wikipedia.org/wiki/1900_United_States_census" xr:uid="{57A3CAEE-566A-4329-8C17-9354102E87DA}"/>
    <hyperlink ref="G6" r:id="rId3" tooltip="1910 United States census" display="https://en.wikipedia.org/wiki/1910_United_States_census" xr:uid="{0A806336-916E-4AE0-8946-E19132B4733D}"/>
    <hyperlink ref="G7" r:id="rId4" tooltip="1920 United States census" display="https://en.wikipedia.org/wiki/1920_United_States_census" xr:uid="{B9A966C8-04FE-4690-A49D-0DDBDCAC3D99}"/>
    <hyperlink ref="G8" r:id="rId5" tooltip="1930 United States census" display="https://en.wikipedia.org/wiki/1930_United_States_census" xr:uid="{B4701D8D-7971-4CB7-9294-7B00CD56850F}"/>
    <hyperlink ref="G9" r:id="rId6" tooltip="1940 United States census" display="https://en.wikipedia.org/wiki/1940_United_States_census" xr:uid="{DE38427E-F050-4237-A959-E5579EE01901}"/>
    <hyperlink ref="G10" r:id="rId7" tooltip="1950 United States census" display="https://en.wikipedia.org/wiki/1950_United_States_census" xr:uid="{5AAE40E7-51F8-48B6-B0BC-11B4038CFB34}"/>
    <hyperlink ref="G11" r:id="rId8" tooltip="1960 United States census" display="https://en.wikipedia.org/wiki/1960_United_States_census" xr:uid="{D86B0CCA-B57F-4AEF-AD55-426A19223BBF}"/>
    <hyperlink ref="G12" r:id="rId9" tooltip="1970 United States census" display="https://en.wikipedia.org/wiki/1970_United_States_census" xr:uid="{A1EF7E7F-4F61-42DC-A2DC-55E55100C97B}"/>
    <hyperlink ref="G13" r:id="rId10" tooltip="1980 United States census" display="https://en.wikipedia.org/wiki/1980_United_States_census" xr:uid="{A294EBE1-A874-432D-A6D8-461FBAC89A6D}"/>
    <hyperlink ref="G14" r:id="rId11" tooltip="1990 United States census" display="https://en.wikipedia.org/wiki/1990_United_States_census" xr:uid="{2028C5FF-3FFB-4302-970C-50D741EE0973}"/>
    <hyperlink ref="G15" r:id="rId12" tooltip="2000 United States census" display="https://en.wikipedia.org/wiki/2000_United_States_census" xr:uid="{2D2BCA09-2F13-4E76-9FB6-A682E42508CD}"/>
    <hyperlink ref="G16" r:id="rId13" tooltip="2010 United States census" display="https://en.wikipedia.org/wiki/2010_United_States_census" xr:uid="{6C08C98F-AADC-44D2-890C-42C1B52EE350}"/>
    <hyperlink ref="G18" r:id="rId14" tooltip="2020 United States census" display="https://en.wikipedia.org/wiki/2020_United_States_census" xr:uid="{7A0EEDDC-ECBD-474A-993D-94708930521A}"/>
    <hyperlink ref="G21" r:id="rId15" location="cite_note-DecennialCensus-5" display="https://en.wikipedia.org/wiki/West_Burlington,_Iowa - cite_note-DecennialCensus-5" xr:uid="{FE6D64FE-6E00-415D-8EE3-8AED91FAA707}"/>
  </hyperlinks>
  <pageMargins left="0.7" right="0.7" top="0.75" bottom="0.75" header="0.3" footer="0.3"/>
  <pageSetup orientation="portrait" r:id="rId16"/>
  <drawing r:id="rId1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9"/>
  </sheetPr>
  <dimension ref="A1:I109"/>
  <sheetViews>
    <sheetView workbookViewId="0">
      <selection activeCell="M58" sqref="M58"/>
    </sheetView>
  </sheetViews>
  <sheetFormatPr baseColWidth="10" defaultColWidth="8.83203125" defaultRowHeight="14" x14ac:dyDescent="0.15"/>
  <cols>
    <col min="1" max="1" width="33.1640625" style="70" customWidth="1"/>
    <col min="2" max="2" width="11.1640625" style="69" bestFit="1" customWidth="1"/>
    <col min="3" max="3" width="25.83203125" style="69" customWidth="1"/>
    <col min="4" max="4" width="20.1640625" style="69" customWidth="1"/>
    <col min="5" max="7" width="11" style="69" customWidth="1"/>
    <col min="8" max="8" width="12.1640625" style="69" bestFit="1" customWidth="1"/>
    <col min="9" max="10" width="7.1640625" style="68" customWidth="1"/>
    <col min="11" max="16384" width="8.83203125" style="68"/>
  </cols>
  <sheetData>
    <row r="1" spans="1:9" x14ac:dyDescent="0.15">
      <c r="A1" s="888" t="s">
        <v>400</v>
      </c>
      <c r="B1" s="888"/>
      <c r="C1" s="888"/>
      <c r="D1" s="888"/>
      <c r="E1" s="888"/>
      <c r="F1" s="888"/>
      <c r="G1" s="888"/>
      <c r="H1" s="888"/>
      <c r="I1" s="888"/>
    </row>
    <row r="2" spans="1:9" x14ac:dyDescent="0.15">
      <c r="A2" s="73"/>
      <c r="B2" s="74"/>
      <c r="C2" s="72"/>
      <c r="D2" s="72"/>
      <c r="E2" s="72"/>
      <c r="F2" s="72"/>
      <c r="G2" s="72"/>
      <c r="H2" s="74"/>
    </row>
    <row r="3" spans="1:9" x14ac:dyDescent="0.15">
      <c r="A3" s="73"/>
      <c r="B3" s="74"/>
      <c r="C3" s="72"/>
      <c r="D3" s="72"/>
      <c r="E3" s="72"/>
      <c r="F3" s="72"/>
      <c r="G3" s="72"/>
      <c r="H3" s="74"/>
    </row>
    <row r="4" spans="1:9" x14ac:dyDescent="0.15">
      <c r="A4" s="73"/>
      <c r="B4" s="74"/>
      <c r="C4" s="72"/>
      <c r="D4" s="72"/>
      <c r="E4" s="72"/>
      <c r="F4" s="72"/>
      <c r="G4" s="72"/>
      <c r="H4" s="74"/>
    </row>
    <row r="5" spans="1:9" x14ac:dyDescent="0.15">
      <c r="A5" s="73"/>
      <c r="B5" s="74"/>
      <c r="C5" s="72"/>
      <c r="D5" s="72"/>
      <c r="E5" s="72"/>
      <c r="F5" s="72"/>
      <c r="G5" s="72"/>
      <c r="H5" s="74"/>
    </row>
    <row r="6" spans="1:9" x14ac:dyDescent="0.15">
      <c r="A6" s="73"/>
      <c r="B6" s="74"/>
      <c r="C6" s="72"/>
      <c r="D6" s="72"/>
      <c r="E6" s="72"/>
      <c r="F6" s="72"/>
      <c r="G6" s="72"/>
      <c r="H6" s="74"/>
    </row>
    <row r="7" spans="1:9" x14ac:dyDescent="0.15">
      <c r="A7" s="73"/>
      <c r="B7" s="74"/>
      <c r="C7" s="72"/>
      <c r="D7" s="72"/>
      <c r="E7" s="72"/>
      <c r="F7" s="72"/>
      <c r="G7" s="72"/>
      <c r="H7" s="74"/>
    </row>
    <row r="8" spans="1:9" x14ac:dyDescent="0.15">
      <c r="A8" s="73"/>
      <c r="B8" s="74"/>
      <c r="C8" s="72"/>
      <c r="D8" s="72"/>
      <c r="E8" s="72"/>
      <c r="F8" s="72"/>
      <c r="G8" s="72"/>
      <c r="H8" s="74"/>
    </row>
    <row r="9" spans="1:9" x14ac:dyDescent="0.15">
      <c r="A9" s="73"/>
      <c r="B9" s="74"/>
      <c r="C9" s="72"/>
      <c r="D9" s="72"/>
      <c r="E9" s="72"/>
      <c r="F9" s="72"/>
      <c r="G9" s="72"/>
      <c r="H9" s="74"/>
    </row>
    <row r="10" spans="1:9" x14ac:dyDescent="0.15">
      <c r="A10" s="73"/>
      <c r="B10" s="74"/>
      <c r="C10" s="72"/>
      <c r="D10" s="72"/>
      <c r="E10" s="72"/>
      <c r="F10" s="72"/>
      <c r="G10" s="72"/>
      <c r="H10" s="74"/>
    </row>
    <row r="11" spans="1:9" x14ac:dyDescent="0.15">
      <c r="A11" s="73"/>
      <c r="B11" s="74"/>
      <c r="C11" s="72"/>
      <c r="D11" s="72"/>
      <c r="E11" s="72"/>
      <c r="F11" s="72"/>
      <c r="G11" s="72"/>
      <c r="H11" s="74"/>
    </row>
    <row r="12" spans="1:9" x14ac:dyDescent="0.15">
      <c r="A12" s="73"/>
      <c r="B12" s="74"/>
      <c r="C12" s="72"/>
      <c r="D12" s="72"/>
      <c r="E12" s="72"/>
      <c r="F12" s="72"/>
      <c r="G12" s="72"/>
      <c r="H12" s="74"/>
    </row>
    <row r="13" spans="1:9" x14ac:dyDescent="0.15">
      <c r="A13" s="73"/>
      <c r="B13" s="74"/>
      <c r="C13" s="72"/>
      <c r="D13" s="72"/>
      <c r="E13" s="72"/>
      <c r="F13" s="72"/>
      <c r="G13" s="72"/>
      <c r="H13" s="74"/>
    </row>
    <row r="14" spans="1:9" x14ac:dyDescent="0.15">
      <c r="A14" s="73"/>
      <c r="B14" s="74"/>
      <c r="C14" s="72"/>
      <c r="D14" s="72"/>
      <c r="E14" s="72"/>
      <c r="F14" s="72"/>
      <c r="G14" s="72"/>
      <c r="H14" s="74"/>
    </row>
    <row r="15" spans="1:9" x14ac:dyDescent="0.15">
      <c r="A15" s="73"/>
      <c r="B15" s="74"/>
      <c r="C15" s="72"/>
      <c r="D15" s="72"/>
      <c r="E15" s="72"/>
      <c r="F15" s="72"/>
      <c r="G15" s="72"/>
      <c r="H15" s="74"/>
    </row>
    <row r="16" spans="1:9" x14ac:dyDescent="0.15">
      <c r="A16" s="73"/>
      <c r="B16" s="74"/>
      <c r="C16" s="74"/>
      <c r="D16" s="74"/>
      <c r="E16" s="74"/>
      <c r="F16" s="74"/>
      <c r="G16" s="74"/>
      <c r="H16" s="74"/>
    </row>
    <row r="17" spans="1:8" x14ac:dyDescent="0.15">
      <c r="A17" s="77"/>
      <c r="B17" s="75"/>
      <c r="C17" s="74"/>
      <c r="D17" s="74"/>
      <c r="E17" s="74"/>
      <c r="F17" s="74"/>
      <c r="G17" s="74"/>
      <c r="H17" s="74"/>
    </row>
    <row r="18" spans="1:8" x14ac:dyDescent="0.15">
      <c r="A18" s="73"/>
      <c r="B18" s="74"/>
      <c r="C18" s="74"/>
      <c r="D18" s="74"/>
      <c r="E18" s="74"/>
      <c r="F18" s="74"/>
      <c r="G18" s="74"/>
      <c r="H18" s="74"/>
    </row>
    <row r="19" spans="1:8" x14ac:dyDescent="0.15">
      <c r="A19" s="73"/>
      <c r="B19" s="74"/>
      <c r="C19" s="74"/>
      <c r="D19" s="74"/>
      <c r="E19" s="74"/>
      <c r="F19" s="74"/>
      <c r="G19" s="74"/>
      <c r="H19" s="74"/>
    </row>
    <row r="20" spans="1:8" x14ac:dyDescent="0.15">
      <c r="A20" s="73"/>
      <c r="B20" s="74"/>
      <c r="C20" s="74"/>
      <c r="D20" s="74"/>
      <c r="E20" s="74"/>
      <c r="F20" s="74"/>
      <c r="G20" s="74"/>
      <c r="H20" s="74"/>
    </row>
    <row r="21" spans="1:8" ht="14" customHeight="1" x14ac:dyDescent="0.15">
      <c r="A21" s="73"/>
      <c r="B21" s="74"/>
      <c r="C21" s="74"/>
      <c r="D21" s="74"/>
      <c r="E21" s="74"/>
      <c r="F21" s="74"/>
      <c r="G21" s="74"/>
      <c r="H21" s="74"/>
    </row>
    <row r="22" spans="1:8" x14ac:dyDescent="0.15">
      <c r="A22" s="73"/>
      <c r="B22" s="74"/>
      <c r="C22" s="74"/>
      <c r="D22" s="74"/>
      <c r="E22" s="74"/>
      <c r="F22" s="74"/>
      <c r="G22" s="74"/>
      <c r="H22" s="74"/>
    </row>
    <row r="23" spans="1:8" x14ac:dyDescent="0.15">
      <c r="A23" s="73"/>
      <c r="B23" s="74"/>
      <c r="C23" s="74"/>
      <c r="D23" s="74"/>
      <c r="E23" s="74"/>
      <c r="F23" s="74"/>
      <c r="G23" s="74"/>
      <c r="H23" s="74"/>
    </row>
    <row r="24" spans="1:8" x14ac:dyDescent="0.15">
      <c r="A24" s="73"/>
      <c r="B24" s="74"/>
      <c r="C24" s="74"/>
      <c r="D24" s="74"/>
      <c r="E24" s="74"/>
      <c r="F24" s="74"/>
      <c r="G24" s="74"/>
      <c r="H24" s="74"/>
    </row>
    <row r="25" spans="1:8" x14ac:dyDescent="0.15">
      <c r="A25" s="73"/>
      <c r="B25" s="74"/>
      <c r="C25" s="74"/>
      <c r="D25" s="74"/>
      <c r="E25" s="74"/>
      <c r="F25" s="74"/>
      <c r="G25" s="74"/>
      <c r="H25" s="74"/>
    </row>
    <row r="26" spans="1:8" x14ac:dyDescent="0.15">
      <c r="A26" s="73"/>
      <c r="B26" s="74"/>
      <c r="C26" s="74"/>
      <c r="D26" s="74"/>
      <c r="E26" s="74"/>
      <c r="F26" s="74"/>
      <c r="G26" s="74"/>
      <c r="H26" s="74"/>
    </row>
    <row r="27" spans="1:8" x14ac:dyDescent="0.15">
      <c r="A27" s="73"/>
      <c r="B27" s="74"/>
      <c r="C27" s="74"/>
      <c r="D27" s="74"/>
      <c r="E27" s="74"/>
      <c r="F27" s="74"/>
      <c r="G27" s="74"/>
      <c r="H27" s="74"/>
    </row>
    <row r="28" spans="1:8" x14ac:dyDescent="0.15">
      <c r="A28" s="73"/>
      <c r="B28" s="74"/>
      <c r="C28" s="74"/>
      <c r="D28" s="74"/>
      <c r="E28" s="74"/>
      <c r="F28" s="74"/>
      <c r="G28" s="74"/>
      <c r="H28" s="74"/>
    </row>
    <row r="29" spans="1:8" x14ac:dyDescent="0.15">
      <c r="A29" s="73"/>
      <c r="B29" s="74"/>
      <c r="C29" s="74"/>
      <c r="D29" s="74"/>
      <c r="E29" s="74"/>
      <c r="F29" s="74"/>
      <c r="G29" s="74"/>
      <c r="H29" s="74"/>
    </row>
    <row r="30" spans="1:8" x14ac:dyDescent="0.15">
      <c r="A30" s="73"/>
      <c r="B30" s="74"/>
      <c r="C30" s="74"/>
      <c r="D30" s="74"/>
      <c r="E30" s="74"/>
      <c r="F30" s="74"/>
      <c r="G30" s="74"/>
      <c r="H30" s="74"/>
    </row>
    <row r="31" spans="1:8" x14ac:dyDescent="0.15">
      <c r="A31" s="73"/>
      <c r="B31" s="74"/>
      <c r="C31" s="74"/>
      <c r="D31" s="74"/>
      <c r="E31" s="74"/>
      <c r="F31" s="74"/>
      <c r="G31" s="74"/>
      <c r="H31" s="74"/>
    </row>
    <row r="32" spans="1:8" x14ac:dyDescent="0.15">
      <c r="A32" s="73"/>
      <c r="B32" s="74"/>
      <c r="C32" s="74"/>
      <c r="D32" s="74"/>
      <c r="E32" s="74"/>
      <c r="F32" s="74"/>
      <c r="G32" s="74"/>
      <c r="H32" s="74"/>
    </row>
    <row r="33" spans="1:8" x14ac:dyDescent="0.15">
      <c r="A33" s="73"/>
      <c r="B33" s="74"/>
      <c r="C33" s="74"/>
      <c r="D33" s="74"/>
      <c r="E33" s="74"/>
      <c r="F33" s="74"/>
      <c r="G33" s="74"/>
      <c r="H33" s="74"/>
    </row>
    <row r="34" spans="1:8" x14ac:dyDescent="0.15">
      <c r="A34" s="73"/>
      <c r="B34" s="74"/>
      <c r="C34" s="74"/>
      <c r="D34" s="74"/>
      <c r="E34" s="74"/>
      <c r="F34" s="74"/>
      <c r="G34" s="74"/>
      <c r="H34" s="74"/>
    </row>
    <row r="35" spans="1:8" x14ac:dyDescent="0.15">
      <c r="A35" s="73"/>
      <c r="B35" s="74"/>
      <c r="C35" s="74"/>
      <c r="D35" s="74"/>
      <c r="E35" s="74"/>
      <c r="F35" s="74"/>
      <c r="G35" s="74"/>
      <c r="H35" s="74"/>
    </row>
    <row r="36" spans="1:8" x14ac:dyDescent="0.15">
      <c r="A36" s="73"/>
      <c r="B36" s="74"/>
      <c r="C36" s="74"/>
      <c r="D36" s="74"/>
      <c r="E36" s="74"/>
      <c r="F36" s="74"/>
      <c r="G36" s="74"/>
      <c r="H36" s="74"/>
    </row>
    <row r="37" spans="1:8" x14ac:dyDescent="0.15">
      <c r="A37" s="73"/>
      <c r="B37" s="74"/>
      <c r="C37" s="74"/>
      <c r="D37" s="74"/>
      <c r="E37" s="74"/>
      <c r="F37" s="74"/>
      <c r="G37" s="74"/>
      <c r="H37" s="74"/>
    </row>
    <row r="38" spans="1:8" x14ac:dyDescent="0.15">
      <c r="A38" s="73"/>
      <c r="B38" s="74"/>
      <c r="C38" s="74"/>
      <c r="D38" s="74"/>
      <c r="E38" s="74"/>
      <c r="F38" s="74"/>
      <c r="G38" s="74"/>
      <c r="H38" s="74"/>
    </row>
    <row r="39" spans="1:8" x14ac:dyDescent="0.15">
      <c r="A39" s="73"/>
      <c r="B39" s="74"/>
      <c r="C39" s="74"/>
      <c r="D39" s="74"/>
      <c r="E39" s="74"/>
      <c r="F39" s="74"/>
      <c r="G39" s="74"/>
      <c r="H39" s="74"/>
    </row>
    <row r="40" spans="1:8" x14ac:dyDescent="0.15">
      <c r="A40" s="73"/>
      <c r="B40" s="74"/>
      <c r="C40" s="74"/>
      <c r="D40" s="74"/>
      <c r="E40" s="74"/>
      <c r="F40" s="74"/>
      <c r="G40" s="74"/>
      <c r="H40" s="74"/>
    </row>
    <row r="41" spans="1:8" x14ac:dyDescent="0.15">
      <c r="A41" s="73"/>
      <c r="B41" s="74"/>
      <c r="C41" s="74"/>
      <c r="D41" s="74"/>
      <c r="E41" s="74"/>
      <c r="F41" s="74"/>
      <c r="G41" s="74"/>
      <c r="H41" s="74"/>
    </row>
    <row r="42" spans="1:8" x14ac:dyDescent="0.15">
      <c r="A42" s="73"/>
      <c r="B42" s="74"/>
      <c r="C42" s="74"/>
      <c r="D42" s="74"/>
      <c r="E42" s="74"/>
      <c r="F42" s="74"/>
      <c r="G42" s="74"/>
      <c r="H42" s="74"/>
    </row>
    <row r="43" spans="1:8" x14ac:dyDescent="0.15">
      <c r="A43" s="73"/>
      <c r="B43" s="74"/>
      <c r="C43" s="74"/>
      <c r="D43" s="74"/>
      <c r="E43" s="74"/>
      <c r="F43" s="74"/>
      <c r="G43" s="74"/>
      <c r="H43" s="74"/>
    </row>
    <row r="44" spans="1:8" x14ac:dyDescent="0.15">
      <c r="A44" s="73"/>
      <c r="B44" s="74"/>
      <c r="C44" s="74"/>
      <c r="D44" s="74"/>
      <c r="E44" s="74"/>
      <c r="F44" s="74"/>
      <c r="G44" s="74"/>
      <c r="H44" s="74"/>
    </row>
    <row r="45" spans="1:8" x14ac:dyDescent="0.15">
      <c r="A45" s="73"/>
      <c r="B45" s="74"/>
      <c r="C45" s="74"/>
      <c r="D45" s="74"/>
      <c r="E45" s="74"/>
      <c r="F45" s="74"/>
      <c r="G45" s="74"/>
      <c r="H45" s="74"/>
    </row>
    <row r="46" spans="1:8" x14ac:dyDescent="0.15">
      <c r="A46" s="73"/>
      <c r="B46" s="74"/>
      <c r="C46" s="74"/>
      <c r="D46" s="74"/>
      <c r="E46" s="74"/>
      <c r="F46" s="74"/>
      <c r="G46" s="74"/>
      <c r="H46" s="74"/>
    </row>
    <row r="47" spans="1:8" x14ac:dyDescent="0.15">
      <c r="A47" s="76"/>
      <c r="B47" s="74"/>
      <c r="C47" s="74"/>
      <c r="D47" s="74"/>
      <c r="E47" s="74"/>
      <c r="F47" s="74"/>
      <c r="G47" s="74"/>
      <c r="H47" s="74"/>
    </row>
    <row r="48" spans="1:8" x14ac:dyDescent="0.15">
      <c r="A48" s="76"/>
      <c r="B48" s="74"/>
      <c r="C48" s="74"/>
      <c r="D48" s="74"/>
      <c r="E48" s="74"/>
      <c r="F48" s="74"/>
      <c r="G48" s="74"/>
      <c r="H48" s="74"/>
    </row>
    <row r="49" spans="1:8" x14ac:dyDescent="0.15">
      <c r="A49" s="76"/>
      <c r="B49" s="74"/>
      <c r="C49" s="74"/>
      <c r="D49" s="74"/>
      <c r="E49" s="74"/>
      <c r="F49" s="74"/>
      <c r="G49" s="74"/>
      <c r="H49" s="74"/>
    </row>
    <row r="50" spans="1:8" x14ac:dyDescent="0.15">
      <c r="A50" s="76"/>
      <c r="B50" s="74"/>
      <c r="C50" s="74"/>
      <c r="D50" s="74"/>
      <c r="E50" s="74"/>
      <c r="F50" s="74"/>
      <c r="G50" s="74"/>
      <c r="H50" s="74"/>
    </row>
    <row r="51" spans="1:8" x14ac:dyDescent="0.15">
      <c r="A51" s="76"/>
      <c r="B51" s="74"/>
      <c r="C51" s="74"/>
      <c r="D51" s="74"/>
      <c r="E51" s="74"/>
      <c r="F51" s="74"/>
      <c r="G51" s="74"/>
      <c r="H51" s="74"/>
    </row>
    <row r="52" spans="1:8" x14ac:dyDescent="0.15">
      <c r="A52" s="73"/>
      <c r="B52" s="74"/>
      <c r="C52" s="74"/>
      <c r="D52" s="74"/>
      <c r="E52" s="74"/>
      <c r="F52" s="74"/>
      <c r="G52" s="74"/>
      <c r="H52" s="74"/>
    </row>
    <row r="53" spans="1:8" x14ac:dyDescent="0.15">
      <c r="A53" s="73"/>
      <c r="B53" s="74"/>
      <c r="C53" s="74"/>
      <c r="D53" s="74"/>
      <c r="E53" s="74"/>
      <c r="F53" s="74"/>
      <c r="G53" s="74"/>
      <c r="H53" s="74"/>
    </row>
    <row r="54" spans="1:8" x14ac:dyDescent="0.15">
      <c r="A54" s="73"/>
      <c r="B54" s="74"/>
      <c r="C54" s="74"/>
      <c r="D54" s="74"/>
      <c r="E54" s="74"/>
      <c r="F54" s="74"/>
      <c r="G54" s="74"/>
      <c r="H54" s="74"/>
    </row>
    <row r="55" spans="1:8" x14ac:dyDescent="0.15">
      <c r="A55" s="73"/>
      <c r="B55" s="74"/>
      <c r="C55" s="74"/>
      <c r="D55" s="74"/>
      <c r="E55" s="74"/>
      <c r="F55" s="74"/>
      <c r="G55" s="74"/>
      <c r="H55" s="74"/>
    </row>
    <row r="56" spans="1:8" x14ac:dyDescent="0.15">
      <c r="A56" s="73"/>
      <c r="B56" s="74"/>
      <c r="C56" s="74"/>
      <c r="D56" s="74"/>
      <c r="E56" s="74"/>
      <c r="F56" s="74"/>
      <c r="G56" s="74"/>
      <c r="H56" s="74"/>
    </row>
    <row r="57" spans="1:8" x14ac:dyDescent="0.15">
      <c r="A57" s="73"/>
      <c r="B57" s="74"/>
      <c r="C57" s="74"/>
      <c r="D57" s="74"/>
      <c r="E57" s="74"/>
      <c r="F57" s="74"/>
      <c r="G57" s="74"/>
      <c r="H57" s="74"/>
    </row>
    <row r="58" spans="1:8" x14ac:dyDescent="0.15">
      <c r="A58" s="73"/>
      <c r="B58" s="74"/>
      <c r="C58" s="74"/>
      <c r="D58" s="74"/>
      <c r="E58" s="74"/>
      <c r="F58" s="74"/>
      <c r="G58" s="74"/>
      <c r="H58" s="74"/>
    </row>
    <row r="59" spans="1:8" x14ac:dyDescent="0.15">
      <c r="A59" s="73"/>
      <c r="B59" s="74"/>
      <c r="C59" s="74"/>
      <c r="D59" s="74"/>
      <c r="E59" s="74"/>
      <c r="F59" s="74"/>
      <c r="G59" s="74"/>
      <c r="H59" s="74"/>
    </row>
    <row r="60" spans="1:8" x14ac:dyDescent="0.15">
      <c r="A60" s="73"/>
      <c r="B60" s="74"/>
      <c r="C60" s="74"/>
      <c r="D60" s="74"/>
      <c r="E60" s="74"/>
      <c r="F60" s="74"/>
      <c r="G60" s="74"/>
      <c r="H60" s="74"/>
    </row>
    <row r="61" spans="1:8" x14ac:dyDescent="0.15">
      <c r="A61" s="73"/>
      <c r="B61" s="74"/>
      <c r="C61" s="74"/>
      <c r="D61" s="74"/>
      <c r="E61" s="74"/>
      <c r="F61" s="74"/>
      <c r="G61" s="74"/>
      <c r="H61" s="74"/>
    </row>
    <row r="62" spans="1:8" x14ac:dyDescent="0.15">
      <c r="A62" s="73"/>
      <c r="B62" s="74"/>
      <c r="C62" s="74"/>
      <c r="D62" s="74"/>
      <c r="E62" s="74"/>
      <c r="F62" s="74"/>
      <c r="G62" s="74"/>
      <c r="H62" s="74"/>
    </row>
    <row r="63" spans="1:8" x14ac:dyDescent="0.15">
      <c r="A63" s="73"/>
      <c r="B63" s="74"/>
      <c r="C63" s="74"/>
      <c r="D63" s="74"/>
      <c r="E63" s="74"/>
      <c r="F63" s="74"/>
      <c r="G63" s="74"/>
      <c r="H63" s="74"/>
    </row>
    <row r="64" spans="1:8" x14ac:dyDescent="0.15">
      <c r="A64" s="73"/>
      <c r="B64" s="74"/>
      <c r="C64" s="74"/>
      <c r="D64" s="74"/>
      <c r="E64" s="74"/>
      <c r="F64" s="74"/>
      <c r="G64" s="74"/>
      <c r="H64" s="74"/>
    </row>
    <row r="65" spans="1:8" x14ac:dyDescent="0.15">
      <c r="A65" s="73"/>
      <c r="B65" s="74"/>
      <c r="C65" s="74"/>
      <c r="D65" s="74"/>
      <c r="E65" s="74"/>
      <c r="F65" s="74"/>
      <c r="G65" s="74"/>
      <c r="H65" s="74"/>
    </row>
    <row r="66" spans="1:8" x14ac:dyDescent="0.15">
      <c r="A66" s="73"/>
      <c r="B66" s="74"/>
      <c r="C66" s="74"/>
      <c r="D66" s="74"/>
      <c r="E66" s="74"/>
      <c r="F66" s="74"/>
      <c r="G66" s="74"/>
      <c r="H66" s="74"/>
    </row>
    <row r="67" spans="1:8" x14ac:dyDescent="0.15">
      <c r="A67" s="73"/>
      <c r="B67" s="74"/>
      <c r="C67" s="74"/>
      <c r="D67" s="74"/>
      <c r="E67" s="74"/>
      <c r="F67" s="74"/>
      <c r="G67" s="74"/>
      <c r="H67" s="74"/>
    </row>
    <row r="68" spans="1:8" x14ac:dyDescent="0.15">
      <c r="A68" s="73"/>
      <c r="B68" s="74"/>
      <c r="C68" s="74"/>
      <c r="D68" s="74"/>
      <c r="E68" s="74"/>
      <c r="F68" s="74"/>
      <c r="G68" s="74"/>
      <c r="H68" s="74"/>
    </row>
    <row r="69" spans="1:8" x14ac:dyDescent="0.15">
      <c r="A69" s="73"/>
      <c r="B69" s="74"/>
      <c r="C69" s="74"/>
      <c r="D69" s="74"/>
      <c r="E69" s="74"/>
      <c r="F69" s="74"/>
      <c r="G69" s="74"/>
      <c r="H69" s="74"/>
    </row>
    <row r="70" spans="1:8" x14ac:dyDescent="0.15">
      <c r="A70" s="73"/>
      <c r="B70" s="74"/>
      <c r="C70" s="74"/>
      <c r="D70" s="74"/>
      <c r="E70" s="74"/>
      <c r="F70" s="74"/>
      <c r="G70" s="74"/>
      <c r="H70" s="74"/>
    </row>
    <row r="71" spans="1:8" x14ac:dyDescent="0.15">
      <c r="A71" s="73"/>
      <c r="B71" s="74"/>
      <c r="C71" s="74"/>
      <c r="D71" s="74"/>
      <c r="E71" s="74"/>
      <c r="F71" s="74"/>
      <c r="G71" s="74"/>
      <c r="H71" s="74"/>
    </row>
    <row r="72" spans="1:8" x14ac:dyDescent="0.15">
      <c r="A72" s="73"/>
      <c r="B72" s="74"/>
      <c r="C72" s="74"/>
      <c r="D72" s="74"/>
      <c r="E72" s="74"/>
      <c r="F72" s="74"/>
      <c r="G72" s="74"/>
      <c r="H72" s="74"/>
    </row>
    <row r="73" spans="1:8" x14ac:dyDescent="0.15">
      <c r="A73" s="73"/>
      <c r="B73" s="74"/>
      <c r="C73" s="74"/>
      <c r="D73" s="74"/>
      <c r="E73" s="74"/>
      <c r="F73" s="74"/>
      <c r="G73" s="74"/>
      <c r="H73" s="74"/>
    </row>
    <row r="74" spans="1:8" x14ac:dyDescent="0.15">
      <c r="A74" s="73"/>
      <c r="B74" s="74"/>
      <c r="C74" s="74"/>
      <c r="D74" s="74"/>
      <c r="E74" s="74"/>
      <c r="F74" s="74"/>
      <c r="G74" s="74"/>
      <c r="H74" s="74"/>
    </row>
    <row r="75" spans="1:8" x14ac:dyDescent="0.15">
      <c r="A75" s="73"/>
      <c r="B75" s="74"/>
      <c r="C75" s="74"/>
      <c r="D75" s="74"/>
      <c r="E75" s="74"/>
      <c r="F75" s="74"/>
      <c r="G75" s="74"/>
      <c r="H75" s="74"/>
    </row>
    <row r="76" spans="1:8" x14ac:dyDescent="0.15">
      <c r="A76" s="73"/>
      <c r="B76" s="74"/>
      <c r="C76" s="74"/>
      <c r="D76" s="74"/>
      <c r="E76" s="74"/>
      <c r="F76" s="74"/>
      <c r="G76" s="74"/>
      <c r="H76" s="74"/>
    </row>
    <row r="77" spans="1:8" x14ac:dyDescent="0.15">
      <c r="A77" s="73"/>
      <c r="B77" s="74"/>
      <c r="C77" s="74"/>
      <c r="D77" s="74"/>
      <c r="E77" s="74"/>
      <c r="F77" s="74"/>
      <c r="G77" s="74"/>
      <c r="H77" s="74"/>
    </row>
    <row r="78" spans="1:8" x14ac:dyDescent="0.15">
      <c r="A78" s="73"/>
      <c r="B78" s="74"/>
      <c r="C78" s="74"/>
      <c r="D78" s="74"/>
      <c r="E78" s="74"/>
      <c r="F78" s="74"/>
      <c r="G78" s="74"/>
      <c r="H78" s="74"/>
    </row>
    <row r="79" spans="1:8" x14ac:dyDescent="0.15">
      <c r="A79" s="73"/>
      <c r="B79" s="74"/>
      <c r="C79" s="74"/>
      <c r="D79" s="74"/>
      <c r="E79" s="74"/>
      <c r="F79" s="74"/>
      <c r="G79" s="74"/>
      <c r="H79" s="74"/>
    </row>
    <row r="80" spans="1:8" x14ac:dyDescent="0.15">
      <c r="A80" s="73"/>
      <c r="B80" s="74"/>
      <c r="C80" s="74"/>
      <c r="D80" s="74"/>
      <c r="E80" s="74"/>
      <c r="F80" s="74"/>
      <c r="G80" s="74"/>
      <c r="H80" s="74"/>
    </row>
    <row r="81" spans="1:8" x14ac:dyDescent="0.15">
      <c r="A81" s="73"/>
      <c r="B81" s="74"/>
      <c r="C81" s="74"/>
      <c r="D81" s="74"/>
      <c r="E81" s="74"/>
      <c r="F81" s="74"/>
      <c r="G81" s="74"/>
      <c r="H81" s="74"/>
    </row>
    <row r="82" spans="1:8" ht="14" customHeight="1" x14ac:dyDescent="0.15">
      <c r="A82" s="73"/>
      <c r="B82" s="74"/>
      <c r="C82" s="74"/>
      <c r="D82" s="74"/>
      <c r="E82" s="74"/>
      <c r="F82" s="74"/>
      <c r="G82" s="74"/>
      <c r="H82" s="74"/>
    </row>
    <row r="83" spans="1:8" x14ac:dyDescent="0.15">
      <c r="A83" s="73"/>
      <c r="B83" s="74"/>
      <c r="C83" s="74"/>
      <c r="D83" s="74"/>
      <c r="E83" s="74"/>
      <c r="F83" s="74"/>
      <c r="G83" s="74"/>
      <c r="H83" s="74"/>
    </row>
    <row r="84" spans="1:8" x14ac:dyDescent="0.15">
      <c r="A84" s="73"/>
      <c r="B84" s="74"/>
      <c r="C84" s="74"/>
      <c r="D84" s="74"/>
      <c r="E84" s="74"/>
      <c r="F84" s="74"/>
      <c r="G84" s="74"/>
      <c r="H84" s="74"/>
    </row>
    <row r="85" spans="1:8" x14ac:dyDescent="0.15">
      <c r="A85" s="73"/>
      <c r="B85" s="74"/>
      <c r="C85" s="74"/>
      <c r="D85" s="74"/>
      <c r="E85" s="74"/>
      <c r="F85" s="74"/>
      <c r="G85" s="74"/>
      <c r="H85" s="74"/>
    </row>
    <row r="86" spans="1:8" ht="14" customHeight="1" x14ac:dyDescent="0.15">
      <c r="A86" s="73"/>
      <c r="B86" s="74"/>
      <c r="C86" s="74"/>
      <c r="D86" s="74"/>
      <c r="E86" s="74"/>
      <c r="F86" s="74"/>
      <c r="G86" s="74"/>
      <c r="H86" s="74"/>
    </row>
    <row r="87" spans="1:8" x14ac:dyDescent="0.15">
      <c r="A87" s="73"/>
      <c r="B87" s="74"/>
      <c r="C87" s="74"/>
      <c r="D87" s="74"/>
      <c r="E87" s="74"/>
      <c r="F87" s="74"/>
      <c r="G87" s="74"/>
      <c r="H87" s="74"/>
    </row>
    <row r="88" spans="1:8" x14ac:dyDescent="0.15">
      <c r="A88" s="73"/>
      <c r="B88" s="74"/>
      <c r="C88" s="74"/>
      <c r="D88" s="74"/>
      <c r="E88" s="74"/>
      <c r="F88" s="74"/>
      <c r="G88" s="74"/>
      <c r="H88" s="74"/>
    </row>
    <row r="89" spans="1:8" x14ac:dyDescent="0.15">
      <c r="A89" s="73"/>
      <c r="B89" s="74"/>
      <c r="C89" s="74"/>
      <c r="D89" s="74"/>
      <c r="E89" s="74"/>
      <c r="F89" s="74"/>
      <c r="G89" s="74"/>
      <c r="H89" s="74"/>
    </row>
    <row r="90" spans="1:8" ht="14" customHeight="1" x14ac:dyDescent="0.15">
      <c r="A90" s="73"/>
      <c r="B90" s="74"/>
      <c r="C90" s="74"/>
      <c r="D90" s="74"/>
      <c r="E90" s="74"/>
      <c r="F90" s="74"/>
      <c r="G90" s="74"/>
      <c r="H90" s="74"/>
    </row>
    <row r="91" spans="1:8" x14ac:dyDescent="0.15">
      <c r="A91" s="73"/>
      <c r="B91" s="74"/>
      <c r="C91" s="74"/>
      <c r="D91" s="74"/>
      <c r="E91" s="74"/>
      <c r="F91" s="74"/>
      <c r="G91" s="74"/>
      <c r="H91" s="74"/>
    </row>
    <row r="92" spans="1:8" x14ac:dyDescent="0.15">
      <c r="A92" s="73"/>
      <c r="B92" s="75"/>
      <c r="C92" s="74"/>
      <c r="D92" s="74"/>
      <c r="E92" s="74"/>
      <c r="F92" s="74"/>
      <c r="G92" s="74"/>
      <c r="H92" s="74"/>
    </row>
    <row r="93" spans="1:8" x14ac:dyDescent="0.15">
      <c r="A93" s="73"/>
      <c r="B93" s="74"/>
      <c r="C93" s="74"/>
      <c r="D93" s="74"/>
      <c r="E93" s="74"/>
      <c r="F93" s="74"/>
      <c r="G93" s="74"/>
      <c r="H93" s="74"/>
    </row>
    <row r="94" spans="1:8" x14ac:dyDescent="0.15">
      <c r="A94" s="73"/>
      <c r="B94" s="74"/>
      <c r="C94" s="74"/>
      <c r="D94" s="74"/>
      <c r="E94" s="74"/>
      <c r="F94" s="74"/>
      <c r="G94" s="74"/>
      <c r="H94" s="74"/>
    </row>
    <row r="95" spans="1:8" ht="14" customHeight="1" x14ac:dyDescent="0.15">
      <c r="A95" s="73"/>
      <c r="B95" s="72"/>
    </row>
    <row r="96" spans="1:8" ht="14" customHeight="1" x14ac:dyDescent="0.15">
      <c r="B96" s="72"/>
      <c r="C96" s="72"/>
      <c r="D96" s="72"/>
      <c r="E96" s="72"/>
      <c r="F96" s="72"/>
      <c r="G96" s="72"/>
      <c r="H96" s="72"/>
    </row>
    <row r="97" spans="1:8" ht="14" customHeight="1" x14ac:dyDescent="0.15">
      <c r="A97" s="73"/>
      <c r="B97" s="72"/>
    </row>
    <row r="98" spans="1:8" x14ac:dyDescent="0.15">
      <c r="A98" s="68"/>
      <c r="B98" s="68"/>
    </row>
    <row r="99" spans="1:8" x14ac:dyDescent="0.15">
      <c r="B99" s="68"/>
    </row>
    <row r="100" spans="1:8" x14ac:dyDescent="0.15">
      <c r="A100" s="71"/>
      <c r="C100" s="68"/>
      <c r="D100" s="68"/>
      <c r="E100" s="79"/>
      <c r="H100" s="80"/>
    </row>
    <row r="101" spans="1:8" x14ac:dyDescent="0.15">
      <c r="A101" s="78"/>
    </row>
    <row r="102" spans="1:8" x14ac:dyDescent="0.15">
      <c r="A102" s="78"/>
    </row>
    <row r="108" spans="1:8" x14ac:dyDescent="0.15">
      <c r="B108" s="80"/>
    </row>
    <row r="109" spans="1:8" x14ac:dyDescent="0.15">
      <c r="B109" s="80"/>
    </row>
  </sheetData>
  <mergeCells count="1">
    <mergeCell ref="A1:I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55CC8-6EA8-4E72-AEEC-19DC1834DE32}">
  <sheetPr>
    <tabColor rgb="FF00B0F0"/>
  </sheetPr>
  <dimension ref="A1:H53"/>
  <sheetViews>
    <sheetView workbookViewId="0">
      <selection activeCell="M58" sqref="M58"/>
    </sheetView>
  </sheetViews>
  <sheetFormatPr baseColWidth="10" defaultColWidth="9.1640625" defaultRowHeight="15" x14ac:dyDescent="0.2"/>
  <cols>
    <col min="1" max="1" width="46.83203125" style="522" customWidth="1"/>
    <col min="2" max="3" width="17.5" style="522" customWidth="1"/>
    <col min="4" max="5" width="9.1640625" style="522"/>
    <col min="6" max="6" width="33.1640625" style="522" customWidth="1"/>
    <col min="7" max="7" width="19.1640625" style="522" customWidth="1"/>
    <col min="8" max="8" width="15.1640625" style="522" customWidth="1"/>
    <col min="9" max="16384" width="9.1640625" style="522"/>
  </cols>
  <sheetData>
    <row r="1" spans="1:8" x14ac:dyDescent="0.2">
      <c r="A1" s="519" t="s">
        <v>401</v>
      </c>
      <c r="B1" s="520" t="str">
        <f>HYPERLINK("http://maps.google.com/maps?q="&amp;(RIGHT(A1,LEN(A1)-SEARCH("-",A1))),"Google Map")</f>
        <v>Google Map</v>
      </c>
      <c r="C1" s="521"/>
      <c r="F1" s="889" t="s">
        <v>402</v>
      </c>
      <c r="G1" s="889"/>
    </row>
    <row r="2" spans="1:8" x14ac:dyDescent="0.2">
      <c r="A2" s="523" t="s">
        <v>403</v>
      </c>
      <c r="B2" s="524">
        <v>0</v>
      </c>
      <c r="C2" s="525" t="e">
        <f>B13/B2</f>
        <v>#DIV/0!</v>
      </c>
      <c r="F2" s="522" t="s">
        <v>403</v>
      </c>
      <c r="G2" s="526">
        <v>0</v>
      </c>
    </row>
    <row r="3" spans="1:8" x14ac:dyDescent="0.2">
      <c r="A3" s="522" t="s">
        <v>404</v>
      </c>
      <c r="B3" s="527"/>
      <c r="C3" s="528" t="e">
        <f>B2/B3</f>
        <v>#DIV/0!</v>
      </c>
      <c r="F3" s="522" t="s">
        <v>405</v>
      </c>
      <c r="G3" s="527"/>
      <c r="H3" s="529" t="e">
        <f>G2/G3</f>
        <v>#DIV/0!</v>
      </c>
    </row>
    <row r="4" spans="1:8" x14ac:dyDescent="0.2">
      <c r="A4" s="522" t="s">
        <v>406</v>
      </c>
      <c r="B4" s="527"/>
      <c r="C4" s="530" t="e">
        <f>B2/B4</f>
        <v>#DIV/0!</v>
      </c>
      <c r="F4" s="522" t="s">
        <v>407</v>
      </c>
      <c r="G4" s="527"/>
      <c r="H4" s="530" t="e">
        <f>G2/G4</f>
        <v>#DIV/0!</v>
      </c>
    </row>
    <row r="5" spans="1:8" x14ac:dyDescent="0.2">
      <c r="A5" s="522" t="s">
        <v>408</v>
      </c>
      <c r="B5" s="531">
        <v>400</v>
      </c>
      <c r="C5" s="532" t="e">
        <f>B5/B2*100</f>
        <v>#DIV/0!</v>
      </c>
      <c r="F5" s="522" t="s">
        <v>409</v>
      </c>
      <c r="G5" s="531">
        <v>250</v>
      </c>
    </row>
    <row r="6" spans="1:8" x14ac:dyDescent="0.2">
      <c r="A6" s="533" t="s">
        <v>410</v>
      </c>
      <c r="B6" s="534"/>
      <c r="C6" s="535"/>
      <c r="F6" s="533" t="s">
        <v>410</v>
      </c>
      <c r="G6" s="534"/>
    </row>
    <row r="7" spans="1:8" x14ac:dyDescent="0.2">
      <c r="A7" s="522" t="s">
        <v>411</v>
      </c>
      <c r="B7" s="536">
        <f>-B6*B5*$B$3*12</f>
        <v>0</v>
      </c>
      <c r="C7" s="535"/>
      <c r="F7" s="522" t="s">
        <v>411</v>
      </c>
      <c r="G7" s="537">
        <f>-G6*G5*G4*12</f>
        <v>0</v>
      </c>
    </row>
    <row r="8" spans="1:8" x14ac:dyDescent="0.2">
      <c r="A8" s="522" t="s">
        <v>412</v>
      </c>
      <c r="B8" s="537">
        <v>0</v>
      </c>
      <c r="C8" s="535"/>
      <c r="F8" s="522" t="s">
        <v>413</v>
      </c>
      <c r="G8" s="536">
        <f>G4*G5*12+G7</f>
        <v>0</v>
      </c>
    </row>
    <row r="9" spans="1:8" x14ac:dyDescent="0.2">
      <c r="A9" s="522" t="s">
        <v>413</v>
      </c>
      <c r="B9" s="536">
        <f>$B$3*$B$5*12+$B$7+$B$8</f>
        <v>0</v>
      </c>
      <c r="C9" s="535"/>
    </row>
    <row r="10" spans="1:8" x14ac:dyDescent="0.2">
      <c r="C10" s="535"/>
      <c r="F10" s="522" t="s">
        <v>414</v>
      </c>
      <c r="G10" s="534">
        <v>0.5</v>
      </c>
    </row>
    <row r="11" spans="1:8" ht="16" thickBot="1" x14ac:dyDescent="0.25">
      <c r="A11" s="522" t="s">
        <v>415</v>
      </c>
      <c r="B11" s="534">
        <v>0.4</v>
      </c>
      <c r="C11" s="535"/>
      <c r="F11" s="522" t="s">
        <v>416</v>
      </c>
      <c r="G11" s="538">
        <f>-G10*G8</f>
        <v>0</v>
      </c>
    </row>
    <row r="12" spans="1:8" ht="17" thickTop="1" thickBot="1" x14ac:dyDescent="0.25">
      <c r="A12" s="522" t="s">
        <v>417</v>
      </c>
      <c r="B12" s="538">
        <f>B11*B9</f>
        <v>0</v>
      </c>
      <c r="C12" s="535"/>
      <c r="F12" s="522" t="s">
        <v>418</v>
      </c>
      <c r="G12" s="536">
        <f>G8+G11</f>
        <v>0</v>
      </c>
    </row>
    <row r="13" spans="1:8" ht="16" thickTop="1" x14ac:dyDescent="0.2">
      <c r="A13" s="522" t="s">
        <v>127</v>
      </c>
      <c r="B13" s="536">
        <f>B9-B12</f>
        <v>0</v>
      </c>
      <c r="C13" s="525" t="e">
        <f>B13/B2</f>
        <v>#DIV/0!</v>
      </c>
    </row>
    <row r="14" spans="1:8" x14ac:dyDescent="0.2">
      <c r="C14" s="535"/>
      <c r="F14" s="522" t="s">
        <v>419</v>
      </c>
      <c r="G14" s="539">
        <v>0.14000000000000001</v>
      </c>
    </row>
    <row r="15" spans="1:8" x14ac:dyDescent="0.2">
      <c r="A15" s="522" t="s">
        <v>420</v>
      </c>
      <c r="B15" s="539">
        <v>5.5E-2</v>
      </c>
      <c r="C15" s="535"/>
      <c r="F15" s="522" t="s">
        <v>421</v>
      </c>
      <c r="G15" s="540">
        <f>G12/G14</f>
        <v>0</v>
      </c>
      <c r="H15" s="529" t="e">
        <f>G15/G3</f>
        <v>#DIV/0!</v>
      </c>
    </row>
    <row r="16" spans="1:8" x14ac:dyDescent="0.2">
      <c r="A16" s="522" t="s">
        <v>0</v>
      </c>
      <c r="B16" s="536">
        <f>B13/B15</f>
        <v>0</v>
      </c>
      <c r="C16" s="528" t="e">
        <f>B16/B3</f>
        <v>#DIV/0!</v>
      </c>
    </row>
    <row r="17" spans="1:7" x14ac:dyDescent="0.2">
      <c r="A17" s="890" t="s">
        <v>422</v>
      </c>
      <c r="B17" s="890"/>
      <c r="C17" s="890"/>
      <c r="F17" s="890" t="s">
        <v>423</v>
      </c>
      <c r="G17" s="890"/>
    </row>
    <row r="18" spans="1:7" x14ac:dyDescent="0.2">
      <c r="A18" s="522" t="s">
        <v>424</v>
      </c>
      <c r="B18" s="534">
        <v>0.05</v>
      </c>
      <c r="F18" s="522" t="s">
        <v>425</v>
      </c>
      <c r="G18" s="534">
        <v>1</v>
      </c>
    </row>
    <row r="19" spans="1:7" x14ac:dyDescent="0.2">
      <c r="A19" s="522" t="s">
        <v>415</v>
      </c>
      <c r="B19" s="534">
        <v>0.32</v>
      </c>
      <c r="F19" s="522" t="s">
        <v>426</v>
      </c>
      <c r="G19" s="539">
        <v>0.05</v>
      </c>
    </row>
    <row r="20" spans="1:7" x14ac:dyDescent="0.2">
      <c r="A20" s="522" t="s">
        <v>408</v>
      </c>
      <c r="B20" s="531">
        <v>550</v>
      </c>
      <c r="F20" s="522" t="s">
        <v>427</v>
      </c>
      <c r="G20" s="541">
        <v>9999</v>
      </c>
    </row>
    <row r="21" spans="1:7" x14ac:dyDescent="0.2">
      <c r="A21" s="522" t="s">
        <v>428</v>
      </c>
      <c r="B21" s="536">
        <f>B20*B3*12</f>
        <v>0</v>
      </c>
      <c r="F21" s="522" t="s">
        <v>429</v>
      </c>
      <c r="G21" s="542">
        <f>PMT(G19,G20,G15*G18)</f>
        <v>0</v>
      </c>
    </row>
    <row r="22" spans="1:7" x14ac:dyDescent="0.2">
      <c r="A22" s="522" t="s">
        <v>411</v>
      </c>
      <c r="B22" s="536">
        <f>-$B$18*$B$21</f>
        <v>0</v>
      </c>
      <c r="G22" s="542"/>
    </row>
    <row r="23" spans="1:7" x14ac:dyDescent="0.2">
      <c r="A23" s="618" t="s">
        <v>412</v>
      </c>
      <c r="B23" s="537">
        <v>0</v>
      </c>
      <c r="F23" s="522" t="s">
        <v>430</v>
      </c>
      <c r="G23" s="543">
        <f>B34+(1-G18)*G2</f>
        <v>0</v>
      </c>
    </row>
    <row r="24" spans="1:7" x14ac:dyDescent="0.2">
      <c r="A24" s="522" t="s">
        <v>413</v>
      </c>
      <c r="B24" s="536">
        <f>SUM(B21:B23)</f>
        <v>0</v>
      </c>
      <c r="F24" s="522" t="s">
        <v>431</v>
      </c>
      <c r="G24" s="544" t="e">
        <f>(B36/5+G12+G21)/G23</f>
        <v>#DIV/0!</v>
      </c>
    </row>
    <row r="25" spans="1:7" x14ac:dyDescent="0.2">
      <c r="F25" s="522" t="s">
        <v>432</v>
      </c>
      <c r="G25" s="545">
        <f>B35</f>
        <v>0</v>
      </c>
    </row>
    <row r="26" spans="1:7" ht="16" thickBot="1" x14ac:dyDescent="0.25">
      <c r="A26" s="522" t="s">
        <v>417</v>
      </c>
      <c r="B26" s="538">
        <f>B19*B24</f>
        <v>0</v>
      </c>
      <c r="F26" s="522" t="s">
        <v>433</v>
      </c>
      <c r="G26" s="545" t="e">
        <f>G23*G24*5</f>
        <v>#DIV/0!</v>
      </c>
    </row>
    <row r="27" spans="1:7" ht="16" thickTop="1" x14ac:dyDescent="0.2">
      <c r="A27" s="522" t="s">
        <v>127</v>
      </c>
      <c r="B27" s="536">
        <f>B24-B26</f>
        <v>0</v>
      </c>
      <c r="F27" s="522" t="s">
        <v>434</v>
      </c>
      <c r="G27" s="546" t="e">
        <f>(G25+G26-G23)/G23</f>
        <v>#DIV/0!</v>
      </c>
    </row>
    <row r="29" spans="1:7" x14ac:dyDescent="0.2">
      <c r="A29" s="522" t="s">
        <v>420</v>
      </c>
      <c r="B29" s="539">
        <v>5.5E-2</v>
      </c>
      <c r="F29" s="547" t="s">
        <v>435</v>
      </c>
      <c r="G29" s="540">
        <f>G15+B16</f>
        <v>0</v>
      </c>
    </row>
    <row r="30" spans="1:7" x14ac:dyDescent="0.2">
      <c r="A30" s="522" t="s">
        <v>0</v>
      </c>
      <c r="B30" s="536">
        <f>B27/B29</f>
        <v>0</v>
      </c>
      <c r="C30" s="528" t="e">
        <f>B30/B3</f>
        <v>#DIV/0!</v>
      </c>
    </row>
    <row r="31" spans="1:7" x14ac:dyDescent="0.2">
      <c r="A31" s="891" t="s">
        <v>436</v>
      </c>
      <c r="B31" s="891"/>
      <c r="C31" s="891"/>
    </row>
    <row r="32" spans="1:7" x14ac:dyDescent="0.2">
      <c r="A32" s="522" t="s">
        <v>200</v>
      </c>
      <c r="B32" s="534">
        <v>0.7</v>
      </c>
    </row>
    <row r="33" spans="1:3" x14ac:dyDescent="0.2">
      <c r="A33" s="522" t="s">
        <v>437</v>
      </c>
      <c r="B33" s="534">
        <v>0.08</v>
      </c>
    </row>
    <row r="34" spans="1:3" x14ac:dyDescent="0.2">
      <c r="A34" s="522" t="s">
        <v>438</v>
      </c>
      <c r="B34" s="545">
        <f>(1-B32)*B16</f>
        <v>0</v>
      </c>
    </row>
    <row r="35" spans="1:3" x14ac:dyDescent="0.2">
      <c r="A35" s="522" t="s">
        <v>439</v>
      </c>
      <c r="B35" s="545">
        <f>+B50</f>
        <v>0</v>
      </c>
      <c r="C35" s="536"/>
    </row>
    <row r="36" spans="1:3" x14ac:dyDescent="0.2">
      <c r="A36" s="522" t="s">
        <v>433</v>
      </c>
      <c r="B36" s="545">
        <f>B33*B34*5</f>
        <v>0</v>
      </c>
    </row>
    <row r="37" spans="1:3" x14ac:dyDescent="0.2">
      <c r="A37" s="522" t="s">
        <v>434</v>
      </c>
      <c r="B37" s="617" t="e">
        <f>+B53</f>
        <v>#DIV/0!</v>
      </c>
    </row>
    <row r="39" spans="1:3" x14ac:dyDescent="0.2">
      <c r="A39" s="522" t="s">
        <v>440</v>
      </c>
      <c r="B39" s="536">
        <f>B30-B16</f>
        <v>0</v>
      </c>
      <c r="C39" s="528" t="e">
        <f>B39/B3</f>
        <v>#DIV/0!</v>
      </c>
    </row>
    <row r="48" spans="1:3" x14ac:dyDescent="0.2">
      <c r="A48" s="522" t="s">
        <v>441</v>
      </c>
      <c r="B48" s="615">
        <f>+B32*B16</f>
        <v>0</v>
      </c>
    </row>
    <row r="49" spans="1:2" x14ac:dyDescent="0.2">
      <c r="A49" s="522" t="s">
        <v>442</v>
      </c>
      <c r="B49" s="615">
        <f>+B32*B30</f>
        <v>0</v>
      </c>
    </row>
    <row r="50" spans="1:2" x14ac:dyDescent="0.2">
      <c r="A50" s="522" t="s">
        <v>443</v>
      </c>
      <c r="B50" s="615">
        <f>+B49-B48</f>
        <v>0</v>
      </c>
    </row>
    <row r="51" spans="1:2" x14ac:dyDescent="0.2">
      <c r="A51" s="522" t="s">
        <v>444</v>
      </c>
      <c r="B51" s="536">
        <f>+B36</f>
        <v>0</v>
      </c>
    </row>
    <row r="52" spans="1:2" x14ac:dyDescent="0.2">
      <c r="A52" s="522" t="s">
        <v>445</v>
      </c>
      <c r="B52" s="615">
        <f>+B51+B50</f>
        <v>0</v>
      </c>
    </row>
    <row r="53" spans="1:2" x14ac:dyDescent="0.2">
      <c r="A53" s="522" t="s">
        <v>446</v>
      </c>
      <c r="B53" s="616" t="e">
        <f>+B52/B34</f>
        <v>#DIV/0!</v>
      </c>
    </row>
  </sheetData>
  <mergeCells count="4">
    <mergeCell ref="F1:G1"/>
    <mergeCell ref="A17:C17"/>
    <mergeCell ref="F17:G17"/>
    <mergeCell ref="A31:C3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096BE-F7C7-4C9E-92F0-129DBF7A0624}">
  <sheetPr codeName="Sheet7">
    <tabColor theme="9"/>
  </sheetPr>
  <dimension ref="A1:V34"/>
  <sheetViews>
    <sheetView workbookViewId="0">
      <selection activeCell="M58" sqref="M58"/>
    </sheetView>
  </sheetViews>
  <sheetFormatPr baseColWidth="10" defaultColWidth="8.83203125" defaultRowHeight="13" x14ac:dyDescent="0.15"/>
  <cols>
    <col min="1" max="1" width="46.1640625" bestFit="1" customWidth="1"/>
    <col min="2" max="2" width="11.83203125" bestFit="1" customWidth="1"/>
    <col min="3" max="3" width="15.1640625" customWidth="1"/>
    <col min="4" max="4" width="12.1640625" customWidth="1"/>
    <col min="5" max="5" width="13.5" customWidth="1"/>
    <col min="6" max="6" width="19.5" customWidth="1"/>
    <col min="8" max="8" width="18.1640625" customWidth="1"/>
  </cols>
  <sheetData>
    <row r="1" spans="1:4" ht="15" x14ac:dyDescent="0.2">
      <c r="A1" s="895" t="s">
        <v>447</v>
      </c>
      <c r="B1" s="895"/>
      <c r="C1" s="895"/>
      <c r="D1" s="895"/>
    </row>
    <row r="2" spans="1:4" x14ac:dyDescent="0.15">
      <c r="B2" s="268"/>
    </row>
    <row r="3" spans="1:4" x14ac:dyDescent="0.15">
      <c r="A3" t="s">
        <v>448</v>
      </c>
      <c r="B3" s="489"/>
      <c r="C3" s="328" t="s">
        <v>449</v>
      </c>
    </row>
    <row r="4" spans="1:4" x14ac:dyDescent="0.15">
      <c r="B4" s="268"/>
    </row>
    <row r="5" spans="1:4" x14ac:dyDescent="0.15">
      <c r="B5" s="268"/>
    </row>
    <row r="6" spans="1:4" ht="15" x14ac:dyDescent="0.2">
      <c r="A6" s="893" t="s">
        <v>450</v>
      </c>
      <c r="B6" s="894"/>
    </row>
    <row r="7" spans="1:4" x14ac:dyDescent="0.15">
      <c r="A7" t="str">
        <f>+A3</f>
        <v>Funds Due To Escrow To Close</v>
      </c>
      <c r="B7" s="268">
        <f>+B3</f>
        <v>0</v>
      </c>
    </row>
    <row r="8" spans="1:4" x14ac:dyDescent="0.15">
      <c r="B8" s="268"/>
    </row>
    <row r="9" spans="1:4" x14ac:dyDescent="0.15">
      <c r="A9" s="633" t="s">
        <v>451</v>
      </c>
      <c r="B9" s="329"/>
    </row>
    <row r="10" spans="1:4" x14ac:dyDescent="0.15">
      <c r="A10" t="s">
        <v>452</v>
      </c>
      <c r="B10" s="329"/>
    </row>
    <row r="11" spans="1:4" x14ac:dyDescent="0.15">
      <c r="A11" s="633" t="s">
        <v>453</v>
      </c>
      <c r="B11" s="268">
        <f>+Notes!C28</f>
        <v>2180000</v>
      </c>
    </row>
    <row r="12" spans="1:4" x14ac:dyDescent="0.15">
      <c r="A12" s="633" t="s">
        <v>454</v>
      </c>
      <c r="B12" s="329">
        <v>0</v>
      </c>
      <c r="C12" s="328" t="s">
        <v>455</v>
      </c>
    </row>
    <row r="13" spans="1:4" x14ac:dyDescent="0.15">
      <c r="B13" s="268"/>
    </row>
    <row r="14" spans="1:4" x14ac:dyDescent="0.15">
      <c r="A14" s="837" t="s">
        <v>456</v>
      </c>
      <c r="B14" s="838">
        <f>SUM(B7:B13)</f>
        <v>2180000</v>
      </c>
    </row>
    <row r="15" spans="1:4" x14ac:dyDescent="0.15">
      <c r="B15" s="268"/>
    </row>
    <row r="16" spans="1:4" x14ac:dyDescent="0.15">
      <c r="A16" s="633" t="s">
        <v>457</v>
      </c>
      <c r="B16" s="268">
        <f>+B14-B10-B9-B7</f>
        <v>2180000</v>
      </c>
    </row>
    <row r="24" spans="1:8" x14ac:dyDescent="0.15">
      <c r="A24" s="892" t="s">
        <v>458</v>
      </c>
      <c r="B24" s="892"/>
      <c r="C24" s="892"/>
      <c r="D24" s="892"/>
      <c r="E24" s="892"/>
      <c r="F24" s="892"/>
      <c r="G24" s="892"/>
      <c r="H24" s="892"/>
    </row>
    <row r="26" spans="1:8" x14ac:dyDescent="0.15">
      <c r="A26" s="839" t="s">
        <v>459</v>
      </c>
      <c r="B26" s="900" t="s">
        <v>460</v>
      </c>
      <c r="C26" s="898"/>
      <c r="D26" s="903" t="s">
        <v>461</v>
      </c>
      <c r="E26" s="903"/>
      <c r="F26" s="267" t="s">
        <v>462</v>
      </c>
      <c r="G26" s="898" t="s">
        <v>463</v>
      </c>
      <c r="H26" s="898"/>
    </row>
    <row r="27" spans="1:8" x14ac:dyDescent="0.15">
      <c r="A27" s="269"/>
      <c r="B27" s="901">
        <f ca="1">Proforma!F108+Proforma!E87</f>
        <v>206862.60400000002</v>
      </c>
      <c r="C27" s="902"/>
      <c r="D27" s="904">
        <f>(Proforma!E55*12)/('Closing Funds - POHs'!A27+Proforma!E55*12)</f>
        <v>1</v>
      </c>
      <c r="E27" s="904"/>
      <c r="F27" s="266">
        <f ca="1">A27/B27</f>
        <v>0</v>
      </c>
      <c r="G27" s="899">
        <f ca="1">B27/(Proforma!D8)</f>
        <v>3.0760239372925654E-2</v>
      </c>
      <c r="H27" s="899"/>
    </row>
    <row r="29" spans="1:8" x14ac:dyDescent="0.15">
      <c r="A29" s="896" t="s">
        <v>464</v>
      </c>
      <c r="B29" s="892"/>
      <c r="C29" s="43" t="s">
        <v>465</v>
      </c>
      <c r="D29" s="43" t="s">
        <v>205</v>
      </c>
      <c r="E29" s="267" t="s">
        <v>466</v>
      </c>
      <c r="F29" s="267" t="s">
        <v>467</v>
      </c>
      <c r="G29" s="840" t="s">
        <v>468</v>
      </c>
      <c r="H29" s="841" t="s">
        <v>469</v>
      </c>
    </row>
    <row r="30" spans="1:8" x14ac:dyDescent="0.15">
      <c r="A30" s="897">
        <v>0</v>
      </c>
      <c r="B30" s="897"/>
      <c r="C30" s="270">
        <v>0</v>
      </c>
      <c r="D30" s="271">
        <v>0.05</v>
      </c>
      <c r="E30" s="239">
        <v>60</v>
      </c>
      <c r="F30" s="239">
        <v>60</v>
      </c>
      <c r="G30" s="268">
        <f>PMT(D30/12,F30,A30-C30)</f>
        <v>0</v>
      </c>
      <c r="H30" s="268">
        <f>G30*12</f>
        <v>0</v>
      </c>
    </row>
    <row r="32" spans="1:8" x14ac:dyDescent="0.15">
      <c r="A32" s="272" t="s">
        <v>470</v>
      </c>
      <c r="B32" s="272"/>
      <c r="C32" s="272"/>
      <c r="D32" s="272"/>
      <c r="E32" s="272"/>
      <c r="F32" s="272"/>
      <c r="G32" s="272"/>
      <c r="H32" s="272"/>
    </row>
    <row r="34" spans="1:22" x14ac:dyDescent="0.15">
      <c r="A34" s="892" t="s">
        <v>458</v>
      </c>
      <c r="B34" s="892"/>
      <c r="C34" s="892"/>
      <c r="D34" s="892"/>
      <c r="E34" s="892"/>
      <c r="F34" s="892"/>
      <c r="G34" s="892"/>
      <c r="H34" s="892"/>
      <c r="M34" s="372"/>
      <c r="N34" s="372"/>
      <c r="O34" s="372"/>
      <c r="P34" s="372"/>
      <c r="Q34" s="372"/>
      <c r="R34" s="372"/>
      <c r="S34" s="372"/>
      <c r="T34" s="372"/>
      <c r="U34" s="372"/>
      <c r="V34" s="372"/>
    </row>
  </sheetData>
  <mergeCells count="12">
    <mergeCell ref="A34:H34"/>
    <mergeCell ref="A6:B6"/>
    <mergeCell ref="A1:D1"/>
    <mergeCell ref="A24:H24"/>
    <mergeCell ref="A29:B29"/>
    <mergeCell ref="A30:B30"/>
    <mergeCell ref="G26:H26"/>
    <mergeCell ref="G27:H27"/>
    <mergeCell ref="B26:C26"/>
    <mergeCell ref="B27:C27"/>
    <mergeCell ref="D26:E26"/>
    <mergeCell ref="D27:E27"/>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_dlc_DocId xmlns="0765e0a5-7ba2-402d-9946-2e0ed7c63ed3">URSRN5MXTWVJ-1845219586-407851</_dlc_DocId>
    <_dlc_DocIdUrl xmlns="0765e0a5-7ba2-402d-9946-2e0ed7c63ed3">
      <Url>https://netorg4686179.sharepoint.com/_layouts/15/DocIdRedir.aspx?ID=URSRN5MXTWVJ-1845219586-407851</Url>
      <Description>URSRN5MXTWVJ-1845219586-407851</Description>
    </_dlc_DocIdUrl>
    <TaxCatchAll xmlns="0765e0a5-7ba2-402d-9946-2e0ed7c63ed3" xsi:nil="true"/>
    <lcf76f155ced4ddcb4097134ff3c332f xmlns="6e23940f-583b-478a-a4f1-8d38fb5b28cc">
      <Terms xmlns="http://schemas.microsoft.com/office/infopath/2007/PartnerControls"/>
    </lcf76f155ced4ddcb4097134ff3c332f>
    <LotNumber xmlns="6e23940f-583b-478a-a4f1-8d38fb5b28c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1317AC504AE0142992D80EE5044DF72" ma:contentTypeVersion="17" ma:contentTypeDescription="Create a new document." ma:contentTypeScope="" ma:versionID="6bedb2d8d4700010e0bb71acc7d47277">
  <xsd:schema xmlns:xsd="http://www.w3.org/2001/XMLSchema" xmlns:xs="http://www.w3.org/2001/XMLSchema" xmlns:p="http://schemas.microsoft.com/office/2006/metadata/properties" xmlns:ns2="0765e0a5-7ba2-402d-9946-2e0ed7c63ed3" xmlns:ns3="6e23940f-583b-478a-a4f1-8d38fb5b28cc" targetNamespace="http://schemas.microsoft.com/office/2006/metadata/properties" ma:root="true" ma:fieldsID="c2176a0105882579fd7c0b1f044b380f" ns2:_="" ns3:_="">
    <xsd:import namespace="0765e0a5-7ba2-402d-9946-2e0ed7c63ed3"/>
    <xsd:import namespace="6e23940f-583b-478a-a4f1-8d38fb5b28c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2:SharedWithUsers" minOccurs="0"/>
                <xsd:element ref="ns2:SharedWithDetails" minOccurs="0"/>
                <xsd:element ref="ns3:MediaLengthInSeconds" minOccurs="0"/>
                <xsd:element ref="ns3:lcf76f155ced4ddcb4097134ff3c332f" minOccurs="0"/>
                <xsd:element ref="ns2:TaxCatchAll" minOccurs="0"/>
                <xsd:element ref="ns3:Lot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65e0a5-7ba2-402d-9946-2e0ed7c63ed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0bbe2277-244b-4676-a645-2c737af1fdef}" ma:internalName="TaxCatchAll" ma:showField="CatchAllData" ma:web="0765e0a5-7ba2-402d-9946-2e0ed7c63ed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e23940f-583b-478a-a4f1-8d38fb5b28c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33fb32de-e536-4b53-ad92-a645299bf04f" ma:termSetId="09814cd3-568e-fe90-9814-8d621ff8fb84" ma:anchorId="fba54fb3-c3e1-fe81-a776-ca4b69148c4d" ma:open="true" ma:isKeyword="false">
      <xsd:complexType>
        <xsd:sequence>
          <xsd:element ref="pc:Terms" minOccurs="0" maxOccurs="1"/>
        </xsd:sequence>
      </xsd:complexType>
    </xsd:element>
    <xsd:element name="LotNumber" ma:index="27" nillable="true" ma:displayName="Number Order" ma:format="Dropdown" ma:internalName="LotNumber" ma:percentage="FALSE">
      <xsd:simpleType>
        <xsd:restriction base="dms:Number">
          <xsd:maxInclusive value="999"/>
          <xsd:minInclusive value="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8472779-7EEF-4CD4-9B21-6D99EAECB1B0}">
  <ds:schemaRefs>
    <ds:schemaRef ds:uri="http://schemas.microsoft.com/sharepoint/events"/>
  </ds:schemaRefs>
</ds:datastoreItem>
</file>

<file path=customXml/itemProps2.xml><?xml version="1.0" encoding="utf-8"?>
<ds:datastoreItem xmlns:ds="http://schemas.openxmlformats.org/officeDocument/2006/customXml" ds:itemID="{33A34812-8725-4855-807D-D659D4C9EB7D}">
  <ds:schemaRefs>
    <ds:schemaRef ds:uri="http://schemas.microsoft.com/office/2006/metadata/properties"/>
    <ds:schemaRef ds:uri="http://schemas.microsoft.com/office/infopath/2007/PartnerControls"/>
    <ds:schemaRef ds:uri="0765e0a5-7ba2-402d-9946-2e0ed7c63ed3"/>
    <ds:schemaRef ds:uri="6e23940f-583b-478a-a4f1-8d38fb5b28cc"/>
  </ds:schemaRefs>
</ds:datastoreItem>
</file>

<file path=customXml/itemProps3.xml><?xml version="1.0" encoding="utf-8"?>
<ds:datastoreItem xmlns:ds="http://schemas.openxmlformats.org/officeDocument/2006/customXml" ds:itemID="{2A59EB8B-7807-4C49-8BC4-6751A90642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65e0a5-7ba2-402d-9946-2e0ed7c63ed3"/>
    <ds:schemaRef ds:uri="6e23940f-583b-478a-a4f1-8d38fb5b28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FEE7931-965C-4716-AA0A-D6F74EF988F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16</vt:i4>
      </vt:variant>
      <vt:variant>
        <vt:lpstr>Charts</vt:lpstr>
      </vt:variant>
      <vt:variant>
        <vt:i4>1</vt:i4>
      </vt:variant>
      <vt:variant>
        <vt:lpstr>Named Ranges</vt:lpstr>
      </vt:variant>
      <vt:variant>
        <vt:i4>38</vt:i4>
      </vt:variant>
    </vt:vector>
  </HeadingPairs>
  <TitlesOfParts>
    <vt:vector size="55" baseType="lpstr">
      <vt:lpstr>Executive Summary</vt:lpstr>
      <vt:lpstr>Financial Summary</vt:lpstr>
      <vt:lpstr>Park Images</vt:lpstr>
      <vt:lpstr>Proforma</vt:lpstr>
      <vt:lpstr>Notes</vt:lpstr>
      <vt:lpstr>Comps-Market-Park</vt:lpstr>
      <vt:lpstr>Rent Roll </vt:lpstr>
      <vt:lpstr>Quick Eval</vt:lpstr>
      <vt:lpstr>Closing Funds - POHs</vt:lpstr>
      <vt:lpstr>Year 1 Proforma</vt:lpstr>
      <vt:lpstr>IE Data Entry</vt:lpstr>
      <vt:lpstr>IE SUMMARY</vt:lpstr>
      <vt:lpstr>Expense Compare Chart</vt:lpstr>
      <vt:lpstr>BVG Chart Of Accounts</vt:lpstr>
      <vt:lpstr>1- PSA-LOI Fields</vt:lpstr>
      <vt:lpstr>WaterFall</vt:lpstr>
      <vt:lpstr>Inc-Exp-NOI Chart</vt:lpstr>
      <vt:lpstr>AcquisitionFee</vt:lpstr>
      <vt:lpstr>AssetMgmtFee</vt:lpstr>
      <vt:lpstr>BVG_Internal</vt:lpstr>
      <vt:lpstr>BVGPromote</vt:lpstr>
      <vt:lpstr>ChartOfAccounts</vt:lpstr>
      <vt:lpstr>CommAssets</vt:lpstr>
      <vt:lpstr>Cost_of_Sale</vt:lpstr>
      <vt:lpstr>WaterFall!CU?</vt:lpstr>
      <vt:lpstr>Current_Year</vt:lpstr>
      <vt:lpstr>DispositionFee</vt:lpstr>
      <vt:lpstr>WaterFall!Equity_Share_LP</vt:lpstr>
      <vt:lpstr>WaterFall!Equity_Share_Sponsor</vt:lpstr>
      <vt:lpstr>GlobalInflation</vt:lpstr>
      <vt:lpstr>GoingInCapToHide</vt:lpstr>
      <vt:lpstr>Income_Account_Codes</vt:lpstr>
      <vt:lpstr>InitialLoan</vt:lpstr>
      <vt:lpstr>InvestorPref</vt:lpstr>
      <vt:lpstr>InvestorPromote</vt:lpstr>
      <vt:lpstr>Maintenance___Capital_Reserve</vt:lpstr>
      <vt:lpstr>MgmtFee</vt:lpstr>
      <vt:lpstr>MgmtFeeLimit</vt:lpstr>
      <vt:lpstr>MoveCount</vt:lpstr>
      <vt:lpstr>NewTaxes</vt:lpstr>
      <vt:lpstr>NoHighlightRange</vt:lpstr>
      <vt:lpstr>NoOfSpaces</vt:lpstr>
      <vt:lpstr>OccPadsNum</vt:lpstr>
      <vt:lpstr>OtherFTE</vt:lpstr>
      <vt:lpstr>Park_Name</vt:lpstr>
      <vt:lpstr>WaterFall!Preferred_Return</vt:lpstr>
      <vt:lpstr>Proforma!Print_Titles</vt:lpstr>
      <vt:lpstr>'Year 1 Proforma'!Print_Titles</vt:lpstr>
      <vt:lpstr>WaterFall!Promote_Structure</vt:lpstr>
      <vt:lpstr>Purchase_Price</vt:lpstr>
      <vt:lpstr>RefiCap</vt:lpstr>
      <vt:lpstr>RefinanceFee</vt:lpstr>
      <vt:lpstr>ResAssets</vt:lpstr>
      <vt:lpstr>SewerInflation</vt:lpstr>
      <vt:lpstr>WaterFall!Total_Equity</vt:lpstr>
    </vt:vector>
  </TitlesOfParts>
  <Manager/>
  <Company>Woodcrest Homes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The BoaVida Group</dc:creator>
  <cp:keywords/>
  <dc:description/>
  <cp:lastModifiedBy>Microsoft Office User</cp:lastModifiedBy>
  <cp:revision/>
  <dcterms:created xsi:type="dcterms:W3CDTF">2002-10-16T22:59:56Z</dcterms:created>
  <dcterms:modified xsi:type="dcterms:W3CDTF">2022-10-03T20:05:20Z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0x010100A1317AC504AE0142992D80EE5044DF72</vt:lpwstr>
  </property>
  <property fmtid="{D5CDD505-2E9C-101B-9397-08002B2CF9AE}" pid="3" name="_dlc_DocIdItemGuid">
    <vt:lpwstr>0c702329-7d22-425c-bad1-c23f99961707</vt:lpwstr>
  </property>
  <property fmtid="{D5CDD505-2E9C-101B-9397-08002B2CF9AE}" pid="4" name="MediaServiceImageTags">
    <vt:lpwstr/>
  </property>
</Properties>
</file>